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15" yWindow="6090" windowWidth="11700" windowHeight="7680" activeTab="1"/>
  </bookViews>
  <sheets>
    <sheet name="Seamount Statistics (2)" sheetId="1" r:id="rId1"/>
    <sheet name="Seamount Statistics" sheetId="2" r:id="rId2"/>
    <sheet name="Histogram" sheetId="3" r:id="rId3"/>
    <sheet name="Other Studies" sheetId="4" r:id="rId4"/>
  </sheets>
  <definedNames/>
  <calcPr fullCalcOnLoad="1"/>
</workbook>
</file>

<file path=xl/sharedStrings.xml><?xml version="1.0" encoding="utf-8"?>
<sst xmlns="http://schemas.openxmlformats.org/spreadsheetml/2006/main" count="420" uniqueCount="223">
  <si>
    <t>Latitude</t>
  </si>
  <si>
    <t>Longitude</t>
  </si>
  <si>
    <t>Base Major Axis</t>
  </si>
  <si>
    <t>Base Minor Axis</t>
  </si>
  <si>
    <t>Summit Major Axis</t>
  </si>
  <si>
    <t>Summit Minor Axis</t>
  </si>
  <si>
    <t>Average Slope</t>
  </si>
  <si>
    <t>Flatness</t>
  </si>
  <si>
    <t>Base Elongation</t>
  </si>
  <si>
    <t>False Longitude</t>
  </si>
  <si>
    <t>Offset</t>
  </si>
  <si>
    <t>Major Height</t>
  </si>
  <si>
    <t>Minor Height</t>
  </si>
  <si>
    <t>Major Slope Left</t>
  </si>
  <si>
    <t>Major Slope Right</t>
  </si>
  <si>
    <t>Minor Slope Left</t>
  </si>
  <si>
    <t>Minor Slope Right</t>
  </si>
  <si>
    <t>Base Depth</t>
  </si>
  <si>
    <t>Summit Depth</t>
  </si>
  <si>
    <t>Average Height</t>
  </si>
  <si>
    <t>Volume (m3)</t>
  </si>
  <si>
    <t>Base Major Axis Azimuth</t>
  </si>
  <si>
    <t>More</t>
  </si>
  <si>
    <t>Frequency</t>
  </si>
  <si>
    <t>Cumulative %</t>
  </si>
  <si>
    <t>Bin</t>
  </si>
  <si>
    <t>Slope:</t>
  </si>
  <si>
    <t>Reciprocal Slope:</t>
  </si>
  <si>
    <t>*</t>
  </si>
  <si>
    <t>Total:</t>
  </si>
  <si>
    <t>Average:</t>
  </si>
  <si>
    <t>Std. Dev.:</t>
  </si>
  <si>
    <t>Minimum:</t>
  </si>
  <si>
    <t>Maximum:</t>
  </si>
  <si>
    <t>Seamount Catalog ID</t>
  </si>
  <si>
    <t>SMNT-151484S-1708917W</t>
  </si>
  <si>
    <t>SMNT-150963S-1709399W</t>
  </si>
  <si>
    <t>SMNT-144561S-1698182W</t>
  </si>
  <si>
    <t>SMNT-136610S-1704984W</t>
  </si>
  <si>
    <t>SMNT-138508S-1686342W</t>
  </si>
  <si>
    <t>SMNT-139160S-1687678W</t>
  </si>
  <si>
    <t>SMNT-145963S-1685162W</t>
  </si>
  <si>
    <t>SMNT-147278S-1707261W</t>
  </si>
  <si>
    <t>SMNT-151297S-1709690W</t>
  </si>
  <si>
    <t>SMNT-143695S-1687499W</t>
  </si>
  <si>
    <t>SMNT-145377S-1706906W</t>
  </si>
  <si>
    <t>SMNT-142508S-1702495W</t>
  </si>
  <si>
    <t>SMNT-144280S-1697564W</t>
  </si>
  <si>
    <t>SMNT-139166S-1703834W</t>
  </si>
  <si>
    <t>SMNT-144012S-1697853W</t>
  </si>
  <si>
    <t>SMNT-146521S-1687986W</t>
  </si>
  <si>
    <t>SMNT-145638S-1685610W</t>
  </si>
  <si>
    <t>SMNT-139955S-1707788W</t>
  </si>
  <si>
    <t>SMNT-140183S-1689183W</t>
  </si>
  <si>
    <t>SMNT-143711S-1697917W</t>
  </si>
  <si>
    <t>SMNT-145525S-1684803W</t>
  </si>
  <si>
    <t>SMNT-147735S-1704898W</t>
  </si>
  <si>
    <t>SMNT-145979S-1706354W</t>
  </si>
  <si>
    <t>SMNT-139485S-1688507W</t>
  </si>
  <si>
    <t>SMNT-138941S-1706171W</t>
  </si>
  <si>
    <t>SMNT-143718S-1687718W</t>
  </si>
  <si>
    <t>SMNT-147415S-1707595W</t>
  </si>
  <si>
    <t>SMNT-146319S-1706615W</t>
  </si>
  <si>
    <t>SMNT-141645S-1688037W</t>
  </si>
  <si>
    <t>SMNT-141895S-1687836W</t>
  </si>
  <si>
    <t>SMNT-145177S-1684944W</t>
  </si>
  <si>
    <t>SMNT-144187S-1698007W</t>
  </si>
  <si>
    <t>SMNT-144593S-1684765W</t>
  </si>
  <si>
    <t>SMNT-138426S-1704870W</t>
  </si>
  <si>
    <t>SMNT-136278S-1702840W</t>
  </si>
  <si>
    <t>SMNT-136866S-1704792W</t>
  </si>
  <si>
    <t>SMNT-145597S-1696210W</t>
  </si>
  <si>
    <t>SMNT-139950S-1703810W</t>
  </si>
  <si>
    <t>SMNT-144334S-1698711W</t>
  </si>
  <si>
    <t>SMNT-145062S-1685224W</t>
  </si>
  <si>
    <t>SMNT-140246S-1704589W</t>
  </si>
  <si>
    <t>SMNT-140827S-1701957W</t>
  </si>
  <si>
    <t>SMNT-135545S-1701248W</t>
  </si>
  <si>
    <t>SMNT-141429S-1708005W</t>
  </si>
  <si>
    <t>SMNT-137151S-1702775W</t>
  </si>
  <si>
    <t>SMNT-138716S-1686885W</t>
  </si>
  <si>
    <t>SMNT-143032S-1692141W</t>
  </si>
  <si>
    <t>SMNT-146692S-1696169W</t>
  </si>
  <si>
    <t>SMNT-146596S-1700348W</t>
  </si>
  <si>
    <t>SMNT-145309S-1684193W</t>
  </si>
  <si>
    <t>Volume (km3)</t>
  </si>
  <si>
    <t>Summit Area (km2)</t>
  </si>
  <si>
    <t>Summit Area (m2)</t>
  </si>
  <si>
    <t>Base Area (km2)</t>
  </si>
  <si>
    <t>Base Area (m2)</t>
  </si>
  <si>
    <t>Study</t>
  </si>
  <si>
    <t>Region (Latitude)</t>
  </si>
  <si>
    <t>Height Range (m)</t>
  </si>
  <si>
    <t>100 – 600</t>
  </si>
  <si>
    <t xml:space="preserve">2.6 ± 0.2 </t>
  </si>
  <si>
    <t>MAR (25º-27ºN)</t>
  </si>
  <si>
    <t>70 – 350</t>
  </si>
  <si>
    <t>58.3 ± 1.6</t>
  </si>
  <si>
    <t>200 – 1000</t>
  </si>
  <si>
    <t>2.7 ± 1.5</t>
  </si>
  <si>
    <t>Southern EPR (15º-19ºS)</t>
  </si>
  <si>
    <t>200 – 1200</t>
  </si>
  <si>
    <t xml:space="preserve">4.8 ± 0.2 </t>
  </si>
  <si>
    <t>Northern MAR (57º-62ºN)</t>
  </si>
  <si>
    <t>50 – 250</t>
  </si>
  <si>
    <t>310 ± 20</t>
  </si>
  <si>
    <t>200 – 800</t>
  </si>
  <si>
    <t>1.9 ± 0.2</t>
  </si>
  <si>
    <t>50 – 350</t>
  </si>
  <si>
    <t>370 ± 30</t>
  </si>
  <si>
    <t>Southern Pacific (9º-22ºS)</t>
  </si>
  <si>
    <t>300 – 700</t>
  </si>
  <si>
    <t>13 ± 2</t>
  </si>
  <si>
    <t>MAR (24º-30ºS)</t>
  </si>
  <si>
    <t>50 – 210</t>
  </si>
  <si>
    <t>195 ± 9</t>
  </si>
  <si>
    <t>Southern Pacific (7º-22ºS)</t>
  </si>
  <si>
    <t>100 – 1000</t>
  </si>
  <si>
    <t>12.6 ± 0.8</t>
  </si>
  <si>
    <t>400 – 2500</t>
  </si>
  <si>
    <t>Seamount Density (per 103 km2) [v0]</t>
  </si>
  <si>
    <t>Characteristic Height (m) [ß-1]</t>
  </si>
  <si>
    <t>Eastern Pacific (23º-33ºN)</t>
  </si>
  <si>
    <t>Southwest Pacific (23º-38ºS)</t>
  </si>
  <si>
    <t>Eastern Pacific (33º-40ºN)</t>
  </si>
  <si>
    <t>Northern EPR (3º-18ºS)</t>
  </si>
  <si>
    <t>Galapagos (1º-3ºN)</t>
  </si>
  <si>
    <t>Easter Chain (27º-29ºS)</t>
  </si>
  <si>
    <t>EVSP (13º-15ºS)</t>
  </si>
  <si>
    <t>Northern EPR (8º-17ºN)</t>
  </si>
  <si>
    <t>Southern EPR (42º-54ºS)</t>
  </si>
  <si>
    <t>Southern EPR (38º-56ºS)</t>
  </si>
  <si>
    <t>Southern Pacific (55º-64ºS)</t>
  </si>
  <si>
    <t>Southwest Pacific (45º-60ºS)</t>
  </si>
  <si>
    <t>400 – 2000</t>
  </si>
  <si>
    <t>400 – 1400</t>
  </si>
  <si>
    <t>400 – 1200</t>
  </si>
  <si>
    <t>400 – 1300</t>
  </si>
  <si>
    <t>400 – 1500</t>
  </si>
  <si>
    <t>400 – 1100</t>
  </si>
  <si>
    <t>6.8 ± 2.1</t>
  </si>
  <si>
    <t>1.7 ± 0.7</t>
  </si>
  <si>
    <t>7.9 ± 2.9</t>
  </si>
  <si>
    <t>5.8 ± 0.8</t>
  </si>
  <si>
    <t>4.1 ± 1.3</t>
  </si>
  <si>
    <t>3.3 ± 0.9</t>
  </si>
  <si>
    <t>13.3 ± 5.2</t>
  </si>
  <si>
    <t>13.1 ± 5.6</t>
  </si>
  <si>
    <t>Year</t>
  </si>
  <si>
    <t>Area ID</t>
  </si>
  <si>
    <t>Jaroslow et al.</t>
  </si>
  <si>
    <t>Rappaport et al.</t>
  </si>
  <si>
    <t>Schierer et al.</t>
  </si>
  <si>
    <t>Magde and Smith</t>
  </si>
  <si>
    <t>Schierer and MacDonald</t>
  </si>
  <si>
    <t>Kleinrock and Brooks</t>
  </si>
  <si>
    <t>Bemis and Smith</t>
  </si>
  <si>
    <t>Smith and Cann</t>
  </si>
  <si>
    <t>Abers et al.</t>
  </si>
  <si>
    <t>Smith and Jordan</t>
  </si>
  <si>
    <t>Present Study</t>
  </si>
  <si>
    <t>SMNT-140529S-1708036W</t>
  </si>
  <si>
    <t>Euler's:</t>
  </si>
  <si>
    <t>a:</t>
  </si>
  <si>
    <t>b:</t>
  </si>
  <si>
    <t>B-1</t>
  </si>
  <si>
    <t>B-1:</t>
  </si>
  <si>
    <t>V0:</t>
  </si>
  <si>
    <t>Confidence:</t>
  </si>
  <si>
    <t>Smnt Per 1000km2</t>
  </si>
  <si>
    <t>Ln of Smnt Per 1000Km2</t>
  </si>
  <si>
    <t>Seamount ID</t>
  </si>
  <si>
    <t>ESVP-01</t>
  </si>
  <si>
    <t>ESVP-02</t>
  </si>
  <si>
    <t>ESVP-03</t>
  </si>
  <si>
    <t>ESVP-04</t>
  </si>
  <si>
    <t>ESVP-05</t>
  </si>
  <si>
    <t>ESVP-06</t>
  </si>
  <si>
    <t>ESVP-07</t>
  </si>
  <si>
    <t>ESVP-08</t>
  </si>
  <si>
    <t>ESVP-09</t>
  </si>
  <si>
    <t>ESVP-10</t>
  </si>
  <si>
    <t>ESVP-11</t>
  </si>
  <si>
    <t>ESVP-12</t>
  </si>
  <si>
    <t>ESVP-13</t>
  </si>
  <si>
    <t>ESVP-14</t>
  </si>
  <si>
    <t>ESVP-15</t>
  </si>
  <si>
    <t>ESVP-16</t>
  </si>
  <si>
    <t>ESVP-17</t>
  </si>
  <si>
    <t>ESVP-18</t>
  </si>
  <si>
    <t>ESVP-19</t>
  </si>
  <si>
    <t>ESVP-20</t>
  </si>
  <si>
    <t>ESVP-21</t>
  </si>
  <si>
    <t>ESVP-22</t>
  </si>
  <si>
    <t>ESVP-23</t>
  </si>
  <si>
    <t>ESVP-24</t>
  </si>
  <si>
    <t>ESVP-25</t>
  </si>
  <si>
    <t>ESVP-26</t>
  </si>
  <si>
    <t>ESVP-27</t>
  </si>
  <si>
    <t>ESVP-28</t>
  </si>
  <si>
    <t>ESVP-29</t>
  </si>
  <si>
    <t>ESVP-30</t>
  </si>
  <si>
    <t>ESVP-31</t>
  </si>
  <si>
    <t>ESVP-32</t>
  </si>
  <si>
    <t>ESVP-33</t>
  </si>
  <si>
    <t>ESVP-34</t>
  </si>
  <si>
    <t>ESVP-35</t>
  </si>
  <si>
    <t>ESVP-36</t>
  </si>
  <si>
    <t>ESVP-37</t>
  </si>
  <si>
    <t>ESVP-38</t>
  </si>
  <si>
    <t>ESVP-39</t>
  </si>
  <si>
    <t>ESVP-40</t>
  </si>
  <si>
    <t>ESVP-41</t>
  </si>
  <si>
    <t>ESVP-42</t>
  </si>
  <si>
    <t>ESVP-43</t>
  </si>
  <si>
    <t>ESVP-44</t>
  </si>
  <si>
    <t>ESVP-45</t>
  </si>
  <si>
    <t>ESVP-46</t>
  </si>
  <si>
    <t>ESVP-47</t>
  </si>
  <si>
    <t>ESVP-48</t>
  </si>
  <si>
    <t>ESVP-49</t>
  </si>
  <si>
    <t>ESVP-50</t>
  </si>
  <si>
    <t>ESVP-51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</si>
</sst>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"/>
    <numFmt numFmtId="167" formatCode="0.0000"/>
    <numFmt numFmtId="168" formatCode="0.000000"/>
    <numFmt numFmtId="169" formatCode="#,##0.00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00000"/>
    <numFmt numFmtId="176" formatCode="0.00000000"/>
    <numFmt numFmtId="177" formatCode="[$-409]h:mm:ss\ AM/PM"/>
    <numFmt numFmtId="178" formatCode="[$-409]dddd\,\ mmmm\ dd\,\ yyyy"/>
  </numFmts>
  <fonts count="2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9.5"/>
      <name val="Arial"/>
      <family val="0"/>
    </font>
    <font>
      <sz val="9.5"/>
      <name val="Century Gothic"/>
      <family val="2"/>
    </font>
    <font>
      <sz val="11.25"/>
      <name val="Arial"/>
      <family val="0"/>
    </font>
    <font>
      <sz val="11.25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Century Gothic"/>
      <family val="2"/>
    </font>
    <font>
      <sz val="9.75"/>
      <name val="Arial"/>
      <family val="0"/>
    </font>
    <font>
      <sz val="8.25"/>
      <name val="Century Gothic"/>
      <family val="2"/>
    </font>
    <font>
      <sz val="9.75"/>
      <name val="Century Gothic"/>
      <family val="2"/>
    </font>
    <font>
      <i/>
      <sz val="10"/>
      <name val="Arial"/>
      <family val="0"/>
    </font>
    <font>
      <b/>
      <sz val="16"/>
      <color indexed="9"/>
      <name val="Century Gothic"/>
      <family val="2"/>
    </font>
    <font>
      <b/>
      <sz val="12"/>
      <color indexed="9"/>
      <name val="Century Gothic"/>
      <family val="2"/>
    </font>
    <font>
      <b/>
      <sz val="10.75"/>
      <color indexed="9"/>
      <name val="Century Gothic"/>
      <family val="2"/>
    </font>
    <font>
      <sz val="16.25"/>
      <name val="Arial"/>
      <family val="0"/>
    </font>
    <font>
      <sz val="10"/>
      <name val="Century Gothic"/>
      <family val="2"/>
    </font>
    <font>
      <b/>
      <sz val="11"/>
      <color indexed="9"/>
      <name val="Arial"/>
      <family val="2"/>
    </font>
    <font>
      <b/>
      <sz val="10.25"/>
      <color indexed="9"/>
      <name val="Arial"/>
      <family val="2"/>
    </font>
    <font>
      <b/>
      <i/>
      <sz val="16.25"/>
      <name val="Century Gothic"/>
      <family val="2"/>
    </font>
    <font>
      <b/>
      <i/>
      <vertAlign val="superscript"/>
      <sz val="16.25"/>
      <name val="Century Gothic"/>
      <family val="2"/>
    </font>
    <font>
      <b/>
      <sz val="18.75"/>
      <color indexed="9"/>
      <name val="Century Gothic"/>
      <family val="2"/>
    </font>
    <font>
      <b/>
      <vertAlign val="superscript"/>
      <sz val="12"/>
      <color indexed="9"/>
      <name val="Century Gothic"/>
      <family val="2"/>
    </font>
    <font>
      <b/>
      <sz val="18.5"/>
      <color indexed="9"/>
      <name val="Century Gothic"/>
      <family val="2"/>
    </font>
    <font>
      <b/>
      <sz val="10"/>
      <name val="Century Gothic"/>
      <family val="2"/>
    </font>
    <font>
      <b/>
      <vertAlign val="superscript"/>
      <sz val="10"/>
      <name val="Century Gothic"/>
      <family val="2"/>
    </font>
    <font>
      <b/>
      <vertAlign val="subscript"/>
      <sz val="14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Fill="1" applyBorder="1" applyAlignment="1">
      <alignment/>
    </xf>
    <xf numFmtId="165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Fill="1" applyBorder="1" applyAlignment="1">
      <alignment/>
    </xf>
    <xf numFmtId="167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13" fillId="0" borderId="3" xfId="0" applyFont="1" applyFill="1" applyBorder="1" applyAlignment="1">
      <alignment horizontal="center"/>
    </xf>
    <xf numFmtId="10" fontId="0" fillId="0" borderId="0" xfId="0" applyNumberFormat="1" applyFill="1" applyBorder="1" applyAlignment="1">
      <alignment/>
    </xf>
    <xf numFmtId="10" fontId="0" fillId="0" borderId="2" xfId="0" applyNumberFormat="1" applyFill="1" applyBorder="1" applyAlignment="1">
      <alignment/>
    </xf>
    <xf numFmtId="2" fontId="2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" fontId="1" fillId="0" borderId="0" xfId="0" applyNumberFormat="1" applyFont="1" applyFill="1" applyBorder="1" applyAlignment="1">
      <alignment/>
    </xf>
    <xf numFmtId="1" fontId="1" fillId="2" borderId="4" xfId="0" applyNumberFormat="1" applyFont="1" applyFill="1" applyBorder="1" applyAlignment="1">
      <alignment horizontal="right"/>
    </xf>
    <xf numFmtId="1" fontId="1" fillId="2" borderId="5" xfId="0" applyNumberFormat="1" applyFont="1" applyFill="1" applyBorder="1" applyAlignment="1">
      <alignment/>
    </xf>
    <xf numFmtId="167" fontId="1" fillId="2" borderId="6" xfId="0" applyNumberFormat="1" applyFont="1" applyFill="1" applyBorder="1" applyAlignment="1">
      <alignment/>
    </xf>
    <xf numFmtId="1" fontId="1" fillId="2" borderId="7" xfId="0" applyNumberFormat="1" applyFont="1" applyFill="1" applyBorder="1" applyAlignment="1">
      <alignment horizontal="right"/>
    </xf>
    <xf numFmtId="1" fontId="1" fillId="2" borderId="8" xfId="0" applyNumberFormat="1" applyFont="1" applyFill="1" applyBorder="1" applyAlignment="1">
      <alignment/>
    </xf>
    <xf numFmtId="167" fontId="1" fillId="2" borderId="9" xfId="0" applyNumberFormat="1" applyFont="1" applyFill="1" applyBorder="1" applyAlignment="1">
      <alignment/>
    </xf>
    <xf numFmtId="1" fontId="1" fillId="2" borderId="10" xfId="0" applyNumberFormat="1" applyFont="1" applyFill="1" applyBorder="1" applyAlignment="1">
      <alignment horizontal="right"/>
    </xf>
    <xf numFmtId="1" fontId="1" fillId="2" borderId="11" xfId="0" applyNumberFormat="1" applyFont="1" applyFill="1" applyBorder="1" applyAlignment="1">
      <alignment/>
    </xf>
    <xf numFmtId="167" fontId="1" fillId="2" borderId="12" xfId="0" applyNumberFormat="1" applyFont="1" applyFill="1" applyBorder="1" applyAlignment="1">
      <alignment/>
    </xf>
    <xf numFmtId="164" fontId="1" fillId="2" borderId="5" xfId="0" applyNumberFormat="1" applyFont="1" applyFill="1" applyBorder="1" applyAlignment="1">
      <alignment/>
    </xf>
    <xf numFmtId="167" fontId="1" fillId="2" borderId="5" xfId="0" applyNumberFormat="1" applyFont="1" applyFill="1" applyBorder="1" applyAlignment="1">
      <alignment/>
    </xf>
    <xf numFmtId="2" fontId="1" fillId="2" borderId="5" xfId="0" applyNumberFormat="1" applyFont="1" applyFill="1" applyBorder="1" applyAlignment="1">
      <alignment/>
    </xf>
    <xf numFmtId="2" fontId="1" fillId="2" borderId="6" xfId="0" applyNumberFormat="1" applyFont="1" applyFill="1" applyBorder="1" applyAlignment="1">
      <alignment/>
    </xf>
    <xf numFmtId="164" fontId="1" fillId="2" borderId="8" xfId="0" applyNumberFormat="1" applyFont="1" applyFill="1" applyBorder="1" applyAlignment="1">
      <alignment/>
    </xf>
    <xf numFmtId="167" fontId="1" fillId="2" borderId="8" xfId="0" applyNumberFormat="1" applyFont="1" applyFill="1" applyBorder="1" applyAlignment="1">
      <alignment/>
    </xf>
    <xf numFmtId="2" fontId="1" fillId="2" borderId="8" xfId="0" applyNumberFormat="1" applyFont="1" applyFill="1" applyBorder="1" applyAlignment="1">
      <alignment/>
    </xf>
    <xf numFmtId="2" fontId="1" fillId="2" borderId="9" xfId="0" applyNumberFormat="1" applyFont="1" applyFill="1" applyBorder="1" applyAlignment="1">
      <alignment/>
    </xf>
    <xf numFmtId="164" fontId="1" fillId="2" borderId="11" xfId="0" applyNumberFormat="1" applyFont="1" applyFill="1" applyBorder="1" applyAlignment="1">
      <alignment/>
    </xf>
    <xf numFmtId="167" fontId="1" fillId="2" borderId="11" xfId="0" applyNumberFormat="1" applyFont="1" applyFill="1" applyBorder="1" applyAlignment="1">
      <alignment/>
    </xf>
    <xf numFmtId="2" fontId="1" fillId="2" borderId="11" xfId="0" applyNumberFormat="1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1" fontId="1" fillId="2" borderId="9" xfId="0" applyNumberFormat="1" applyFont="1" applyFill="1" applyBorder="1" applyAlignment="1">
      <alignment/>
    </xf>
    <xf numFmtId="1" fontId="1" fillId="2" borderId="12" xfId="0" applyNumberFormat="1" applyFont="1" applyFill="1" applyBorder="1" applyAlignment="1">
      <alignment/>
    </xf>
    <xf numFmtId="168" fontId="1" fillId="2" borderId="6" xfId="0" applyNumberFormat="1" applyFont="1" applyFill="1" applyBorder="1" applyAlignment="1">
      <alignment/>
    </xf>
    <xf numFmtId="0" fontId="1" fillId="2" borderId="9" xfId="0" applyFont="1" applyFill="1" applyBorder="1" applyAlignment="1">
      <alignment/>
    </xf>
    <xf numFmtId="1" fontId="1" fillId="2" borderId="13" xfId="0" applyNumberFormat="1" applyFont="1" applyFill="1" applyBorder="1" applyAlignment="1">
      <alignment/>
    </xf>
    <xf numFmtId="1" fontId="1" fillId="2" borderId="14" xfId="0" applyNumberFormat="1" applyFont="1" applyFill="1" applyBorder="1" applyAlignment="1">
      <alignment/>
    </xf>
    <xf numFmtId="2" fontId="1" fillId="2" borderId="5" xfId="0" applyNumberFormat="1" applyFont="1" applyFill="1" applyBorder="1" applyAlignment="1">
      <alignment horizontal="right"/>
    </xf>
    <xf numFmtId="2" fontId="1" fillId="2" borderId="8" xfId="0" applyNumberFormat="1" applyFont="1" applyFill="1" applyBorder="1" applyAlignment="1">
      <alignment horizontal="right"/>
    </xf>
    <xf numFmtId="1" fontId="1" fillId="2" borderId="11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1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" fontId="1" fillId="2" borderId="15" xfId="0" applyNumberFormat="1" applyFont="1" applyFill="1" applyBorder="1" applyAlignment="1">
      <alignment/>
    </xf>
    <xf numFmtId="175" fontId="1" fillId="2" borderId="13" xfId="0" applyNumberFormat="1" applyFont="1" applyFill="1" applyBorder="1" applyAlignment="1">
      <alignment/>
    </xf>
    <xf numFmtId="167" fontId="1" fillId="2" borderId="14" xfId="0" applyNumberFormat="1" applyFont="1" applyFill="1" applyBorder="1" applyAlignment="1">
      <alignment/>
    </xf>
    <xf numFmtId="0" fontId="1" fillId="2" borderId="14" xfId="0" applyFont="1" applyFill="1" applyBorder="1" applyAlignment="1">
      <alignment/>
    </xf>
    <xf numFmtId="168" fontId="1" fillId="2" borderId="16" xfId="0" applyNumberFormat="1" applyFont="1" applyFill="1" applyBorder="1" applyAlignment="1">
      <alignment/>
    </xf>
    <xf numFmtId="167" fontId="1" fillId="0" borderId="17" xfId="0" applyNumberFormat="1" applyFont="1" applyFill="1" applyBorder="1" applyAlignment="1">
      <alignment/>
    </xf>
    <xf numFmtId="176" fontId="1" fillId="2" borderId="6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1" fillId="2" borderId="12" xfId="0" applyFont="1" applyFill="1" applyBorder="1" applyAlignment="1">
      <alignment/>
    </xf>
    <xf numFmtId="0" fontId="1" fillId="0" borderId="18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Basal Major Axis Azimuth vs. Elongation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'Seamount Statistics (2)'!$Y$2:$Y$52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'Seamount Statistics (2)'!$AC$2:$AC$52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axId val="50157551"/>
        <c:axId val="48764776"/>
      </c:scatterChart>
      <c:valAx>
        <c:axId val="50157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Azimuth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764776"/>
        <c:crosses val="autoZero"/>
        <c:crossBetween val="midCat"/>
        <c:dispUnits/>
      </c:valAx>
      <c:valAx>
        <c:axId val="48764776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Elongation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157551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18900000" scaled="1"/>
        </a:gra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Average Slope vs. Basal Depth</a:t>
            </a:r>
          </a:p>
        </c:rich>
      </c:tx>
      <c:layout>
        <c:manualLayout>
          <c:xMode val="factor"/>
          <c:yMode val="factor"/>
          <c:x val="0.056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20725"/>
          <c:w val="0.91375"/>
          <c:h val="0.7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'Seamount Statistics (2)'!$X$2:$X$52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'Seamount Statistics (2)'!$Z$2:$Z$52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axId val="61398265"/>
        <c:axId val="15713474"/>
      </c:scatterChart>
      <c:valAx>
        <c:axId val="61398265"/>
        <c:scaling>
          <c:orientation val="minMax"/>
          <c:max val="2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Average Slope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5713474"/>
        <c:crosses val="max"/>
        <c:crossBetween val="midCat"/>
        <c:dispUnits/>
      </c:valAx>
      <c:valAx>
        <c:axId val="15713474"/>
        <c:scaling>
          <c:orientation val="minMax"/>
          <c:max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Base 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398265"/>
        <c:crossesAt val="-6000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18900000" scaled="1"/>
        </a:gra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Elongation vs. Flatness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'Seamount Statistics (2)'!$AC$2:$AC$52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'Seamount Statistics (2)'!$AB$2:$AB$52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axId val="7203539"/>
        <c:axId val="64831852"/>
      </c:scatterChart>
      <c:valAx>
        <c:axId val="7203539"/>
        <c:scaling>
          <c:orientation val="minMax"/>
          <c:max val="2.2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Elongation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crossAx val="64831852"/>
        <c:crosses val="autoZero"/>
        <c:crossBetween val="midCat"/>
        <c:dispUnits/>
      </c:valAx>
      <c:valAx>
        <c:axId val="64831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Flatness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203539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18900000" scaled="1"/>
        </a:gra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Exponential Regression Semi-Log Plot</a:t>
            </a:r>
          </a:p>
        </c:rich>
      </c:tx>
      <c:layout>
        <c:manualLayout>
          <c:xMode val="factor"/>
          <c:yMode val="factor"/>
          <c:x val="0.054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71"/>
          <c:w val="0.93"/>
          <c:h val="0.8365"/>
        </c:manualLayout>
      </c:layout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forward val="60"/>
            <c:backward val="10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'Seamount Statistics (2)'!$Q$2:$Q$49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xVal>
          <c:yVal>
            <c:numRef>
              <c:f>'Seamount Statistics (2)'!$R$2:$R$49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yVal>
          <c:smooth val="0"/>
        </c:ser>
        <c:axId val="46615757"/>
        <c:axId val="16888630"/>
      </c:scatterChart>
      <c:valAx>
        <c:axId val="46615757"/>
        <c:scaling>
          <c:orientation val="minMax"/>
          <c:max val="6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Seamount Height (m)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6888630"/>
        <c:crossesAt val="0.01"/>
        <c:crossBetween val="midCat"/>
        <c:dispUnits/>
      </c:valAx>
      <c:valAx>
        <c:axId val="1688863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Seamounts per 1000 km</a:t>
                </a:r>
                <a:r>
                  <a:rPr lang="en-US" cap="none" sz="1000" b="1" i="0" u="none" baseline="30000"/>
                  <a:t>2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in"/>
        <c:minorTickMark val="none"/>
        <c:tickLblPos val="nextTo"/>
        <c:crossAx val="46615757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18900000" scaled="1"/>
        </a:gradFill>
        <a:ln w="381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</a:rPr>
              <a:t>Basal Major Axis Azimuth vs. Elongation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'Seamount Statistics'!$Y$2:$Y$52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'Seamount Statistics'!$AC$2:$AC$52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axId val="17779943"/>
        <c:axId val="25801760"/>
      </c:scatterChart>
      <c:valAx>
        <c:axId val="17779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Azimuth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solidFill>
                  <a:srgbClr val="FFFFFF"/>
                </a:solidFill>
              </a:defRPr>
            </a:pPr>
          </a:p>
        </c:txPr>
        <c:crossAx val="25801760"/>
        <c:crosses val="autoZero"/>
        <c:crossBetween val="midCat"/>
        <c:dispUnits/>
      </c:valAx>
      <c:valAx>
        <c:axId val="25801760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Elongation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solidFill>
                  <a:srgbClr val="FFFFFF"/>
                </a:solidFill>
              </a:defRPr>
            </a:pPr>
          </a:p>
        </c:txPr>
        <c:crossAx val="17779943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18900000" scaled="1"/>
        </a:gra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333333"/>
    </a:solidFill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FFFFFF"/>
                </a:solidFill>
              </a:rPr>
              <a:t>Basal Area vs. Height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'Seamount Statistics'!$J$2:$J$52</c:f>
              <c:numCache/>
            </c:numRef>
          </c:xVal>
          <c:yVal>
            <c:numRef>
              <c:f>'Seamount Statistics'!$Q$2:$Q$52</c:f>
              <c:numCache/>
            </c:numRef>
          </c:yVal>
          <c:smooth val="0"/>
        </c:ser>
        <c:axId val="30889249"/>
        <c:axId val="9567786"/>
      </c:scatterChart>
      <c:valAx>
        <c:axId val="30889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Basal Area (km</a:t>
                </a:r>
                <a:r>
                  <a:rPr lang="en-US" cap="none" sz="1200" b="1" i="0" u="none" baseline="30000">
                    <a:solidFill>
                      <a:srgbClr val="FFFFFF"/>
                    </a:solidFill>
                  </a:rPr>
                  <a:t>2</a:t>
                </a: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solidFill>
                  <a:srgbClr val="FFFFFF"/>
                </a:solidFill>
              </a:defRPr>
            </a:pPr>
          </a:p>
        </c:txPr>
        <c:crossAx val="9567786"/>
        <c:crosses val="autoZero"/>
        <c:crossBetween val="midCat"/>
        <c:dispUnits/>
      </c:valAx>
      <c:valAx>
        <c:axId val="9567786"/>
        <c:scaling>
          <c:orientation val="minMax"/>
          <c:max val="9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Height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solidFill>
                  <a:srgbClr val="FFFFFF"/>
                </a:solidFill>
              </a:defRPr>
            </a:pPr>
          </a:p>
        </c:txPr>
        <c:crossAx val="30889249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18900000" scaled="1"/>
        </a:gra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333333"/>
    </a:solidFill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FFFFFF"/>
                </a:solidFill>
              </a:rPr>
              <a:t>Average Slope vs. Height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'Seamount Statistics'!$X$2:$X$52</c:f>
              <c:numCache/>
            </c:numRef>
          </c:xVal>
          <c:yVal>
            <c:numRef>
              <c:f>'Seamount Statistics'!$Q$2:$Q$52</c:f>
              <c:numCache/>
            </c:numRef>
          </c:yVal>
          <c:smooth val="0"/>
        </c:ser>
        <c:axId val="19001211"/>
        <c:axId val="36793172"/>
      </c:scatterChart>
      <c:valAx>
        <c:axId val="19001211"/>
        <c:scaling>
          <c:orientation val="minMax"/>
          <c:max val="21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Average Slope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solidFill>
                  <a:srgbClr val="FFFFFF"/>
                </a:solidFill>
              </a:defRPr>
            </a:pPr>
          </a:p>
        </c:txPr>
        <c:crossAx val="36793172"/>
        <c:crosses val="autoZero"/>
        <c:crossBetween val="midCat"/>
        <c:dispUnits/>
      </c:valAx>
      <c:valAx>
        <c:axId val="36793172"/>
        <c:scaling>
          <c:orientation val="minMax"/>
          <c:max val="9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Height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solidFill>
                  <a:srgbClr val="FFFFFF"/>
                </a:solidFill>
              </a:defRPr>
            </a:pPr>
          </a:p>
        </c:txPr>
        <c:crossAx val="19001211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18900000" scaled="1"/>
        </a:gra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333333"/>
    </a:solidFill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FFFFFF"/>
                </a:solidFill>
              </a:rPr>
              <a:t>Flatness vs. Height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'Seamount Statistics'!$AB$2:$AB$52</c:f>
              <c:numCache/>
            </c:numRef>
          </c:xVal>
          <c:yVal>
            <c:numRef>
              <c:f>'Seamount Statistics'!$Q$2:$Q$52</c:f>
              <c:numCache/>
            </c:numRef>
          </c:yVal>
          <c:smooth val="0"/>
        </c:ser>
        <c:axId val="62703093"/>
        <c:axId val="27456926"/>
      </c:scatterChart>
      <c:valAx>
        <c:axId val="62703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Flatness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solidFill>
                  <a:srgbClr val="FFFFFF"/>
                </a:solidFill>
              </a:defRPr>
            </a:pPr>
          </a:p>
        </c:txPr>
        <c:crossAx val="27456926"/>
        <c:crosses val="autoZero"/>
        <c:crossBetween val="midCat"/>
        <c:dispUnits/>
      </c:valAx>
      <c:valAx>
        <c:axId val="27456926"/>
        <c:scaling>
          <c:orientation val="minMax"/>
          <c:max val="9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Height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solidFill>
                  <a:srgbClr val="FFFFFF"/>
                </a:solidFill>
              </a:defRPr>
            </a:pPr>
          </a:p>
        </c:txPr>
        <c:crossAx val="62703093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18900000" scaled="1"/>
        </a:gra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333333"/>
    </a:solidFill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FFFFFF"/>
                </a:solidFill>
              </a:rPr>
              <a:t>Volume vs. Height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'Seamount Statistics'!$AE$2:$AE$52</c:f>
              <c:numCache/>
            </c:numRef>
          </c:xVal>
          <c:yVal>
            <c:numRef>
              <c:f>'Seamount Statistics'!$Q$2:$Q$52</c:f>
              <c:numCache/>
            </c:numRef>
          </c:yVal>
          <c:smooth val="0"/>
        </c:ser>
        <c:axId val="45785743"/>
        <c:axId val="9418504"/>
      </c:scatterChart>
      <c:valAx>
        <c:axId val="45785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Volume (km</a:t>
                </a:r>
                <a:r>
                  <a:rPr lang="en-US" cap="none" sz="1200" b="1" i="0" u="none" baseline="30000">
                    <a:solidFill>
                      <a:srgbClr val="FFFFFF"/>
                    </a:solidFill>
                  </a:rPr>
                  <a:t>3</a:t>
                </a: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solidFill>
                  <a:srgbClr val="FFFFFF"/>
                </a:solidFill>
              </a:defRPr>
            </a:pPr>
          </a:p>
        </c:txPr>
        <c:crossAx val="9418504"/>
        <c:crosses val="autoZero"/>
        <c:crossBetween val="midCat"/>
        <c:dispUnits/>
      </c:valAx>
      <c:valAx>
        <c:axId val="9418504"/>
        <c:scaling>
          <c:orientation val="minMax"/>
          <c:max val="9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Height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solidFill>
                  <a:srgbClr val="FFFFFF"/>
                </a:solidFill>
              </a:defRPr>
            </a:pPr>
          </a:p>
        </c:txPr>
        <c:crossAx val="45785743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18900000" scaled="1"/>
        </a:gra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333333"/>
    </a:solidFill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</a:rPr>
              <a:t>Flatness vs. Volume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'Seamount Statistics'!$AB$2:$AB$52</c:f>
              <c:numCache/>
            </c:numRef>
          </c:xVal>
          <c:yVal>
            <c:numRef>
              <c:f>'Seamount Statistics'!$AE$2:$AE$52</c:f>
              <c:numCache/>
            </c:numRef>
          </c:yVal>
          <c:smooth val="0"/>
        </c:ser>
        <c:axId val="17657673"/>
        <c:axId val="24701330"/>
      </c:scatterChart>
      <c:valAx>
        <c:axId val="17657673"/>
        <c:scaling>
          <c:orientation val="minMax"/>
          <c:max val="0.0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Flatness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24701330"/>
        <c:crosses val="autoZero"/>
        <c:crossBetween val="midCat"/>
        <c:dispUnits/>
      </c:valAx>
      <c:valAx>
        <c:axId val="24701330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Volume (km</a:t>
                </a:r>
                <a:r>
                  <a:rPr lang="en-US" cap="none" sz="1200" b="1" i="0" u="none" baseline="30000">
                    <a:solidFill>
                      <a:srgbClr val="FFFFFF"/>
                    </a:solidFill>
                  </a:rPr>
                  <a:t>3</a:t>
                </a: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solidFill>
                  <a:srgbClr val="FFFFFF"/>
                </a:solidFill>
              </a:defRPr>
            </a:pPr>
          </a:p>
        </c:txPr>
        <c:crossAx val="17657673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18900000" scaled="1"/>
        </a:gra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333333"/>
    </a:solidFill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</a:rPr>
              <a:t>Volume vs. Basal Depth</a:t>
            </a:r>
          </a:p>
        </c:rich>
      </c:tx>
      <c:layout>
        <c:manualLayout>
          <c:xMode val="factor"/>
          <c:yMode val="factor"/>
          <c:x val="0.056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2345"/>
          <c:w val="0.91625"/>
          <c:h val="0.73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'Seamount Statistics'!$AE$2:$AE$52</c:f>
              <c:numCache/>
            </c:numRef>
          </c:xVal>
          <c:yVal>
            <c:numRef>
              <c:f>'Seamount Statistics'!$Z$2:$Z$52</c:f>
              <c:numCache/>
            </c:numRef>
          </c:yVal>
          <c:smooth val="0"/>
        </c:ser>
        <c:axId val="20985379"/>
        <c:axId val="54650684"/>
      </c:scatterChart>
      <c:valAx>
        <c:axId val="20985379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Volume (km</a:t>
                </a:r>
                <a:r>
                  <a:rPr lang="en-US" cap="none" sz="1200" b="1" i="0" u="none" baseline="30000">
                    <a:solidFill>
                      <a:srgbClr val="FFFFFF"/>
                    </a:solidFill>
                  </a:rPr>
                  <a:t>3</a:t>
                </a: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54650684"/>
        <c:crosses val="max"/>
        <c:crossBetween val="midCat"/>
        <c:dispUnits/>
      </c:valAx>
      <c:valAx>
        <c:axId val="54650684"/>
        <c:scaling>
          <c:orientation val="minMax"/>
          <c:max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Base 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solidFill>
                  <a:srgbClr val="FFFFFF"/>
                </a:solidFill>
              </a:defRPr>
            </a:pPr>
          </a:p>
        </c:txPr>
        <c:crossAx val="20985379"/>
        <c:crossesAt val="-6000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18900000" scaled="1"/>
        </a:gra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333333"/>
    </a:solidFill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Basal Area vs. Height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'Seamount Statistics (2)'!$J$2:$J$52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'Seamount Statistics (2)'!$Q$2:$Q$52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axId val="36229801"/>
        <c:axId val="57632754"/>
      </c:scatterChart>
      <c:valAx>
        <c:axId val="36229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Basal Area (km</a:t>
                </a:r>
                <a:r>
                  <a:rPr lang="en-US" cap="none" sz="1000" b="1" i="0" u="none" baseline="30000"/>
                  <a:t>2</a:t>
                </a:r>
                <a:r>
                  <a:rPr lang="en-US" cap="none" sz="10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7632754"/>
        <c:crosses val="autoZero"/>
        <c:crossBetween val="midCat"/>
        <c:dispUnits/>
      </c:valAx>
      <c:valAx>
        <c:axId val="57632754"/>
        <c:scaling>
          <c:orientation val="minMax"/>
          <c:max val="9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/>
                  <a:t>Height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229801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18900000" scaled="1"/>
        </a:gra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FFFFFF"/>
                </a:solidFill>
              </a:rPr>
              <a:t>Flatness vs. Basal Depth</a:t>
            </a:r>
          </a:p>
        </c:rich>
      </c:tx>
      <c:layout>
        <c:manualLayout>
          <c:xMode val="factor"/>
          <c:yMode val="factor"/>
          <c:x val="0.056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22375"/>
          <c:w val="0.925"/>
          <c:h val="0.74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'Seamount Statistics'!$AB$2:$AB$52</c:f>
              <c:numCache/>
            </c:numRef>
          </c:xVal>
          <c:yVal>
            <c:numRef>
              <c:f>'Seamount Statistics'!$Z$2:$Z$52</c:f>
              <c:numCache/>
            </c:numRef>
          </c:yVal>
          <c:smooth val="0"/>
        </c:ser>
        <c:axId val="22094109"/>
        <c:axId val="64629254"/>
      </c:scatterChart>
      <c:valAx>
        <c:axId val="22094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Flatness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solidFill>
                  <a:srgbClr val="FFFFFF"/>
                </a:solidFill>
              </a:defRPr>
            </a:pPr>
          </a:p>
        </c:txPr>
        <c:crossAx val="64629254"/>
        <c:crosses val="max"/>
        <c:crossBetween val="midCat"/>
        <c:dispUnits/>
      </c:valAx>
      <c:valAx>
        <c:axId val="64629254"/>
        <c:scaling>
          <c:orientation val="minMax"/>
          <c:max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Basal 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solidFill>
                  <a:srgbClr val="FFFFFF"/>
                </a:solidFill>
              </a:defRPr>
            </a:pPr>
          </a:p>
        </c:txPr>
        <c:crossAx val="22094109"/>
        <c:crossesAt val="-6000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18900000" scaled="1"/>
        </a:gra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333333"/>
    </a:solidFill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</a:rPr>
              <a:t>Elongation vs. Basal Depth</a:t>
            </a:r>
          </a:p>
        </c:rich>
      </c:tx>
      <c:layout>
        <c:manualLayout>
          <c:xMode val="factor"/>
          <c:yMode val="factor"/>
          <c:x val="0.056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24075"/>
          <c:w val="0.91525"/>
          <c:h val="0.72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'Seamount Statistics'!$AC$2:$AC$52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'Seamount Statistics'!$Z$2:$Z$52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axId val="44792375"/>
        <c:axId val="478192"/>
      </c:scatterChart>
      <c:valAx>
        <c:axId val="44792375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Elongation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478192"/>
        <c:crosses val="max"/>
        <c:crossBetween val="midCat"/>
        <c:dispUnits/>
      </c:valAx>
      <c:valAx>
        <c:axId val="478192"/>
        <c:scaling>
          <c:orientation val="minMax"/>
          <c:max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Base 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solidFill>
                  <a:srgbClr val="FFFFFF"/>
                </a:solidFill>
              </a:defRPr>
            </a:pPr>
          </a:p>
        </c:txPr>
        <c:crossAx val="44792375"/>
        <c:crossesAt val="-6000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18900000" scaled="1"/>
        </a:gra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333333"/>
    </a:solidFill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</a:rPr>
              <a:t>Average Slope vs. Basal Depth</a:t>
            </a:r>
          </a:p>
        </c:rich>
      </c:tx>
      <c:layout>
        <c:manualLayout>
          <c:xMode val="factor"/>
          <c:yMode val="factor"/>
          <c:x val="0.056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24025"/>
          <c:w val="0.914"/>
          <c:h val="0.72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'Seamount Statistics'!$X$2:$X$52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'Seamount Statistics'!$Z$2:$Z$52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axId val="4303729"/>
        <c:axId val="38733562"/>
      </c:scatterChart>
      <c:valAx>
        <c:axId val="4303729"/>
        <c:scaling>
          <c:orientation val="minMax"/>
          <c:max val="2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Average Slope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solidFill>
                  <a:srgbClr val="FFFFFF"/>
                </a:solidFill>
              </a:defRPr>
            </a:pPr>
          </a:p>
        </c:txPr>
        <c:crossAx val="38733562"/>
        <c:crosses val="max"/>
        <c:crossBetween val="midCat"/>
        <c:dispUnits/>
      </c:valAx>
      <c:valAx>
        <c:axId val="38733562"/>
        <c:scaling>
          <c:orientation val="minMax"/>
          <c:max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Base 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solidFill>
                  <a:srgbClr val="FFFFFF"/>
                </a:solidFill>
              </a:defRPr>
            </a:pPr>
          </a:p>
        </c:txPr>
        <c:crossAx val="4303729"/>
        <c:crossesAt val="-6000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18900000" scaled="1"/>
        </a:gra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333333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</a:rPr>
              <a:t>Elongation vs. Flatness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'Seamount Statistics'!$AC$2:$AC$52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'Seamount Statistics'!$AB$2:$AB$52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axId val="13057739"/>
        <c:axId val="50410788"/>
      </c:scatterChart>
      <c:valAx>
        <c:axId val="13057739"/>
        <c:scaling>
          <c:orientation val="minMax"/>
          <c:max val="2.2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Elongation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50410788"/>
        <c:crosses val="autoZero"/>
        <c:crossBetween val="midCat"/>
        <c:dispUnits/>
      </c:valAx>
      <c:valAx>
        <c:axId val="50410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Flatness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solidFill>
                  <a:srgbClr val="FFFFFF"/>
                </a:solidFill>
              </a:defRPr>
            </a:pPr>
          </a:p>
        </c:txPr>
        <c:crossAx val="13057739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18900000" scaled="1"/>
        </a:gra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333333"/>
    </a:solidFill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</a:rPr>
              <a:t>Exponential Regression Semi-Log Plot</a:t>
            </a:r>
          </a:p>
        </c:rich>
      </c:tx>
      <c:layout>
        <c:manualLayout>
          <c:xMode val="factor"/>
          <c:yMode val="factor"/>
          <c:x val="0.054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9125"/>
          <c:w val="0.93"/>
          <c:h val="0.8165"/>
        </c:manualLayout>
      </c:layout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forward val="60"/>
            <c:backward val="10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25" b="1" i="1" u="none" baseline="0"/>
                  </a:pPr>
                </a:p>
              </c:txPr>
              <c:numFmt formatCode="General"/>
            </c:trendlineLbl>
          </c:trendline>
          <c:xVal>
            <c:numRef>
              <c:f>'Seamount Statistics'!$Q$2:$Q$49</c:f>
              <c:numCache/>
            </c:numRef>
          </c:xVal>
          <c:yVal>
            <c:numRef>
              <c:f>'Seamount Statistics'!$R$2:$R$49</c:f>
              <c:numCache/>
            </c:numRef>
          </c:yVal>
          <c:smooth val="0"/>
        </c:ser>
        <c:axId val="51043909"/>
        <c:axId val="56741998"/>
      </c:scatterChart>
      <c:valAx>
        <c:axId val="51043909"/>
        <c:scaling>
          <c:orientation val="minMax"/>
          <c:max val="6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FFFFFF"/>
                    </a:solidFill>
                  </a:rPr>
                  <a:t>Seamount Height (m)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56741998"/>
        <c:crossesAt val="0.01"/>
        <c:crossBetween val="midCat"/>
        <c:dispUnits/>
      </c:valAx>
      <c:valAx>
        <c:axId val="5674199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Seamounts per 1000 k</a:t>
                </a:r>
                <a:r>
                  <a:rPr lang="en-US" cap="none" sz="10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m2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solidFill>
                  <a:srgbClr val="FFFFFF"/>
                </a:solidFill>
              </a:defRPr>
            </a:pPr>
          </a:p>
        </c:txPr>
        <c:crossAx val="51043909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18900000" scaled="1"/>
        </a:gradFill>
        <a:ln w="38100">
          <a:solidFill/>
        </a:ln>
      </c:spPr>
    </c:plotArea>
    <c:plotVisOnly val="1"/>
    <c:dispBlanksAs val="gap"/>
    <c:showDLblsOverMax val="0"/>
  </c:chart>
  <c:spPr>
    <a:solidFill>
      <a:srgbClr val="333333"/>
    </a:solidFill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Histogram!$A$2:$A$11</c:f>
              <c:strCache/>
            </c:strRef>
          </c:cat>
          <c:val>
            <c:numRef>
              <c:f>Histogram!$B$2:$B$10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0915935"/>
        <c:axId val="32699096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Histogram!$A$2:$A$11</c:f>
              <c:strCache/>
            </c:strRef>
          </c:cat>
          <c:val>
            <c:numRef>
              <c:f>Histogram!$C$2:$C$10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axId val="25856409"/>
        <c:axId val="31381090"/>
      </c:lineChart>
      <c:catAx>
        <c:axId val="40915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Height Bins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32699096"/>
        <c:crosses val="autoZero"/>
        <c:auto val="1"/>
        <c:lblOffset val="100"/>
        <c:noMultiLvlLbl val="0"/>
      </c:catAx>
      <c:valAx>
        <c:axId val="32699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crossAx val="40915935"/>
        <c:crossesAt val="1"/>
        <c:crossBetween val="between"/>
        <c:dispUnits/>
      </c:valAx>
      <c:catAx>
        <c:axId val="25856409"/>
        <c:scaling>
          <c:orientation val="minMax"/>
        </c:scaling>
        <c:axPos val="b"/>
        <c:delete val="1"/>
        <c:majorTickMark val="cross"/>
        <c:minorTickMark val="none"/>
        <c:tickLblPos val="nextTo"/>
        <c:crossAx val="31381090"/>
        <c:crosses val="autoZero"/>
        <c:auto val="1"/>
        <c:lblOffset val="100"/>
        <c:noMultiLvlLbl val="0"/>
      </c:catAx>
      <c:valAx>
        <c:axId val="31381090"/>
        <c:scaling>
          <c:orientation val="minMax"/>
          <c:max val="1"/>
        </c:scaling>
        <c:axPos val="l"/>
        <c:delete val="0"/>
        <c:numFmt formatCode="0%" sourceLinked="0"/>
        <c:majorTickMark val="cross"/>
        <c:minorTickMark val="none"/>
        <c:tickLblPos val="nextTo"/>
        <c:crossAx val="25856409"/>
        <c:crosses val="max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18900000" scaled="1"/>
        </a:gradFill>
        <a:ln w="38100">
          <a:solidFill/>
        </a:ln>
      </c:spPr>
    </c:plotArea>
    <c:plotVisOnly val="1"/>
    <c:dispBlanksAs val="gap"/>
    <c:showDLblsOverMax val="0"/>
  </c:chart>
  <c:spPr>
    <a:solidFill>
      <a:srgbClr val="333333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FFFF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Average Slope vs. Height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'Seamount Statistics (2)'!$X$2:$X$52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'Seamount Statistics (2)'!$Q$2:$Q$52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axId val="48932739"/>
        <c:axId val="37741468"/>
      </c:scatterChart>
      <c:valAx>
        <c:axId val="48932739"/>
        <c:scaling>
          <c:orientation val="minMax"/>
          <c:max val="21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Average Slope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741468"/>
        <c:crosses val="autoZero"/>
        <c:crossBetween val="midCat"/>
        <c:dispUnits/>
      </c:valAx>
      <c:valAx>
        <c:axId val="37741468"/>
        <c:scaling>
          <c:orientation val="minMax"/>
          <c:max val="9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Height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932739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18900000" scaled="1"/>
        </a:gra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Flatness vs. Height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'Seamount Statistics (2)'!$AB$2:$AB$52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'Seamount Statistics (2)'!$Q$2:$Q$52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axId val="4128893"/>
        <c:axId val="37160038"/>
      </c:scatterChart>
      <c:valAx>
        <c:axId val="4128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Flatness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crossAx val="37160038"/>
        <c:crosses val="autoZero"/>
        <c:crossBetween val="midCat"/>
        <c:dispUnits/>
      </c:valAx>
      <c:valAx>
        <c:axId val="37160038"/>
        <c:scaling>
          <c:orientation val="minMax"/>
          <c:max val="9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Height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28893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18900000" scaled="1"/>
        </a:gra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Volume vs. Height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'Seamount Statistics (2)'!$AE$2:$AE$52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'Seamount Statistics (2)'!$Q$2:$Q$52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axId val="66004887"/>
        <c:axId val="57173072"/>
      </c:scatterChart>
      <c:valAx>
        <c:axId val="66004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Volume (km</a:t>
                </a:r>
                <a:r>
                  <a:rPr lang="en-US" cap="none" sz="1000" b="1" i="0" u="none" baseline="30000"/>
                  <a:t>3</a:t>
                </a:r>
                <a:r>
                  <a:rPr lang="en-US" cap="none" sz="10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crossAx val="57173072"/>
        <c:crosses val="autoZero"/>
        <c:crossBetween val="midCat"/>
        <c:dispUnits/>
      </c:valAx>
      <c:valAx>
        <c:axId val="57173072"/>
        <c:scaling>
          <c:orientation val="minMax"/>
          <c:max val="9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Height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04887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18900000" scaled="1"/>
        </a:gra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Flatness vs. Volume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'Seamount Statistics (2)'!$AB$2:$AB$52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'Seamount Statistics (2)'!$AE$2:$AE$52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axId val="44795601"/>
        <c:axId val="507226"/>
      </c:scatterChart>
      <c:valAx>
        <c:axId val="44795601"/>
        <c:scaling>
          <c:orientation val="minMax"/>
          <c:max val="0.0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Flatness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crossAx val="507226"/>
        <c:crosses val="autoZero"/>
        <c:crossBetween val="midCat"/>
        <c:dispUnits/>
      </c:valAx>
      <c:valAx>
        <c:axId val="507226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Volume (km</a:t>
                </a:r>
                <a:r>
                  <a:rPr lang="en-US" cap="none" sz="1000" b="1" i="0" u="none" baseline="30000"/>
                  <a:t>3</a:t>
                </a:r>
                <a:r>
                  <a:rPr lang="en-US" cap="none" sz="10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4795601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18900000" scaled="1"/>
        </a:gra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Volume vs. Basal Depth</a:t>
            </a:r>
          </a:p>
        </c:rich>
      </c:tx>
      <c:layout>
        <c:manualLayout>
          <c:xMode val="factor"/>
          <c:yMode val="factor"/>
          <c:x val="0.056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20075"/>
          <c:w val="0.916"/>
          <c:h val="0.76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'Seamount Statistics (2)'!$AE$2:$AE$52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'Seamount Statistics (2)'!$Z$2:$Z$52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axId val="4565035"/>
        <c:axId val="41085316"/>
      </c:scatterChart>
      <c:valAx>
        <c:axId val="4565035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Volume (km</a:t>
                </a:r>
                <a:r>
                  <a:rPr lang="en-US" cap="none" sz="1000" b="1" i="0" u="none" baseline="30000"/>
                  <a:t>3</a:t>
                </a:r>
                <a:r>
                  <a:rPr lang="en-US" cap="none" sz="10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crossAx val="41085316"/>
        <c:crosses val="max"/>
        <c:crossBetween val="midCat"/>
        <c:dispUnits/>
      </c:valAx>
      <c:valAx>
        <c:axId val="41085316"/>
        <c:scaling>
          <c:orientation val="minMax"/>
          <c:max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Base 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5035"/>
        <c:crossesAt val="-6000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18900000" scaled="1"/>
        </a:gra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Flatness vs. Basal Depth</a:t>
            </a:r>
          </a:p>
        </c:rich>
      </c:tx>
      <c:layout>
        <c:manualLayout>
          <c:xMode val="factor"/>
          <c:yMode val="factor"/>
          <c:x val="0.056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2075"/>
          <c:w val="0.91525"/>
          <c:h val="0.76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'Seamount Statistics (2)'!$AB$2:$AB$52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'Seamount Statistics (2)'!$Z$2:$Z$52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axId val="34223525"/>
        <c:axId val="39576270"/>
      </c:scatterChart>
      <c:valAx>
        <c:axId val="34223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Flatness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crossAx val="39576270"/>
        <c:crosses val="max"/>
        <c:crossBetween val="midCat"/>
        <c:dispUnits/>
      </c:valAx>
      <c:valAx>
        <c:axId val="39576270"/>
        <c:scaling>
          <c:orientation val="minMax"/>
          <c:max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Basal 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23525"/>
        <c:crossesAt val="-6000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18900000" scaled="1"/>
        </a:gra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Elongation vs. Basal Depth</a:t>
            </a:r>
          </a:p>
        </c:rich>
      </c:tx>
      <c:layout>
        <c:manualLayout>
          <c:xMode val="factor"/>
          <c:yMode val="factor"/>
          <c:x val="0.056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24625"/>
          <c:w val="0.91525"/>
          <c:h val="0.72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'Seamount Statistics (2)'!$AC$2:$AC$52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'Seamount Statistics (2)'!$Z$2:$Z$52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axId val="20642111"/>
        <c:axId val="51561272"/>
      </c:scatterChart>
      <c:valAx>
        <c:axId val="20642111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Elongation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crossAx val="51561272"/>
        <c:crosses val="max"/>
        <c:crossBetween val="midCat"/>
        <c:dispUnits/>
      </c:valAx>
      <c:valAx>
        <c:axId val="51561272"/>
        <c:scaling>
          <c:orientation val="minMax"/>
          <c:max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Base 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642111"/>
        <c:crossesAt val="-6000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18900000" scaled="1"/>
        </a:gra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1" i="0" u="none" baseline="-2500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57</xdr:row>
      <xdr:rowOff>66675</xdr:rowOff>
    </xdr:from>
    <xdr:to>
      <xdr:col>8</xdr:col>
      <xdr:colOff>695325</xdr:colOff>
      <xdr:row>84</xdr:row>
      <xdr:rowOff>76200</xdr:rowOff>
    </xdr:to>
    <xdr:graphicFrame>
      <xdr:nvGraphicFramePr>
        <xdr:cNvPr id="1" name="Chart 1"/>
        <xdr:cNvGraphicFramePr/>
      </xdr:nvGraphicFramePr>
      <xdr:xfrm>
        <a:off x="838200" y="8248650"/>
        <a:ext cx="62960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85</xdr:row>
      <xdr:rowOff>66675</xdr:rowOff>
    </xdr:from>
    <xdr:to>
      <xdr:col>8</xdr:col>
      <xdr:colOff>704850</xdr:colOff>
      <xdr:row>112</xdr:row>
      <xdr:rowOff>95250</xdr:rowOff>
    </xdr:to>
    <xdr:graphicFrame>
      <xdr:nvGraphicFramePr>
        <xdr:cNvPr id="2" name="Chart 2"/>
        <xdr:cNvGraphicFramePr/>
      </xdr:nvGraphicFramePr>
      <xdr:xfrm>
        <a:off x="847725" y="12258675"/>
        <a:ext cx="62960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123825</xdr:colOff>
      <xdr:row>113</xdr:row>
      <xdr:rowOff>19050</xdr:rowOff>
    </xdr:from>
    <xdr:to>
      <xdr:col>8</xdr:col>
      <xdr:colOff>704850</xdr:colOff>
      <xdr:row>140</xdr:row>
      <xdr:rowOff>57150</xdr:rowOff>
    </xdr:to>
    <xdr:graphicFrame>
      <xdr:nvGraphicFramePr>
        <xdr:cNvPr id="3" name="Chart 3"/>
        <xdr:cNvGraphicFramePr/>
      </xdr:nvGraphicFramePr>
      <xdr:xfrm>
        <a:off x="847725" y="16268700"/>
        <a:ext cx="6296025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142875</xdr:colOff>
      <xdr:row>141</xdr:row>
      <xdr:rowOff>95250</xdr:rowOff>
    </xdr:from>
    <xdr:to>
      <xdr:col>8</xdr:col>
      <xdr:colOff>733425</xdr:colOff>
      <xdr:row>168</xdr:row>
      <xdr:rowOff>142875</xdr:rowOff>
    </xdr:to>
    <xdr:graphicFrame>
      <xdr:nvGraphicFramePr>
        <xdr:cNvPr id="4" name="Chart 4"/>
        <xdr:cNvGraphicFramePr/>
      </xdr:nvGraphicFramePr>
      <xdr:xfrm>
        <a:off x="866775" y="20878800"/>
        <a:ext cx="6305550" cy="4419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133350</xdr:colOff>
      <xdr:row>169</xdr:row>
      <xdr:rowOff>133350</xdr:rowOff>
    </xdr:from>
    <xdr:to>
      <xdr:col>8</xdr:col>
      <xdr:colOff>723900</xdr:colOff>
      <xdr:row>197</xdr:row>
      <xdr:rowOff>19050</xdr:rowOff>
    </xdr:to>
    <xdr:graphicFrame>
      <xdr:nvGraphicFramePr>
        <xdr:cNvPr id="5" name="Chart 5"/>
        <xdr:cNvGraphicFramePr/>
      </xdr:nvGraphicFramePr>
      <xdr:xfrm>
        <a:off x="857250" y="25450800"/>
        <a:ext cx="6305550" cy="4419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123825</xdr:colOff>
      <xdr:row>198</xdr:row>
      <xdr:rowOff>9525</xdr:rowOff>
    </xdr:from>
    <xdr:to>
      <xdr:col>8</xdr:col>
      <xdr:colOff>714375</xdr:colOff>
      <xdr:row>225</xdr:row>
      <xdr:rowOff>66675</xdr:rowOff>
    </xdr:to>
    <xdr:graphicFrame>
      <xdr:nvGraphicFramePr>
        <xdr:cNvPr id="6" name="Chart 6"/>
        <xdr:cNvGraphicFramePr/>
      </xdr:nvGraphicFramePr>
      <xdr:xfrm>
        <a:off x="847725" y="30022800"/>
        <a:ext cx="6305550" cy="4429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152400</xdr:colOff>
      <xdr:row>226</xdr:row>
      <xdr:rowOff>19050</xdr:rowOff>
    </xdr:from>
    <xdr:to>
      <xdr:col>8</xdr:col>
      <xdr:colOff>762000</xdr:colOff>
      <xdr:row>253</xdr:row>
      <xdr:rowOff>85725</xdr:rowOff>
    </xdr:to>
    <xdr:graphicFrame>
      <xdr:nvGraphicFramePr>
        <xdr:cNvPr id="7" name="Chart 7"/>
        <xdr:cNvGraphicFramePr/>
      </xdr:nvGraphicFramePr>
      <xdr:xfrm>
        <a:off x="876300" y="34566225"/>
        <a:ext cx="6324600" cy="4438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152400</xdr:colOff>
      <xdr:row>255</xdr:row>
      <xdr:rowOff>28575</xdr:rowOff>
    </xdr:from>
    <xdr:to>
      <xdr:col>8</xdr:col>
      <xdr:colOff>781050</xdr:colOff>
      <xdr:row>282</xdr:row>
      <xdr:rowOff>104775</xdr:rowOff>
    </xdr:to>
    <xdr:graphicFrame>
      <xdr:nvGraphicFramePr>
        <xdr:cNvPr id="8" name="Chart 8"/>
        <xdr:cNvGraphicFramePr/>
      </xdr:nvGraphicFramePr>
      <xdr:xfrm>
        <a:off x="876300" y="39271575"/>
        <a:ext cx="6343650" cy="4448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133350</xdr:colOff>
      <xdr:row>283</xdr:row>
      <xdr:rowOff>47625</xdr:rowOff>
    </xdr:from>
    <xdr:to>
      <xdr:col>8</xdr:col>
      <xdr:colOff>733425</xdr:colOff>
      <xdr:row>310</xdr:row>
      <xdr:rowOff>133350</xdr:rowOff>
    </xdr:to>
    <xdr:graphicFrame>
      <xdr:nvGraphicFramePr>
        <xdr:cNvPr id="9" name="Chart 9"/>
        <xdr:cNvGraphicFramePr/>
      </xdr:nvGraphicFramePr>
      <xdr:xfrm>
        <a:off x="857250" y="43824525"/>
        <a:ext cx="6315075" cy="4457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114300</xdr:colOff>
      <xdr:row>312</xdr:row>
      <xdr:rowOff>28575</xdr:rowOff>
    </xdr:from>
    <xdr:to>
      <xdr:col>8</xdr:col>
      <xdr:colOff>771525</xdr:colOff>
      <xdr:row>339</xdr:row>
      <xdr:rowOff>133350</xdr:rowOff>
    </xdr:to>
    <xdr:graphicFrame>
      <xdr:nvGraphicFramePr>
        <xdr:cNvPr id="10" name="Chart 10"/>
        <xdr:cNvGraphicFramePr/>
      </xdr:nvGraphicFramePr>
      <xdr:xfrm>
        <a:off x="838200" y="48501300"/>
        <a:ext cx="6372225" cy="4476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152400</xdr:colOff>
      <xdr:row>340</xdr:row>
      <xdr:rowOff>95250</xdr:rowOff>
    </xdr:from>
    <xdr:to>
      <xdr:col>8</xdr:col>
      <xdr:colOff>781050</xdr:colOff>
      <xdr:row>367</xdr:row>
      <xdr:rowOff>114300</xdr:rowOff>
    </xdr:to>
    <xdr:graphicFrame>
      <xdr:nvGraphicFramePr>
        <xdr:cNvPr id="11" name="Chart 11"/>
        <xdr:cNvGraphicFramePr/>
      </xdr:nvGraphicFramePr>
      <xdr:xfrm>
        <a:off x="876300" y="53101875"/>
        <a:ext cx="6343650" cy="4391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257175</xdr:colOff>
      <xdr:row>62</xdr:row>
      <xdr:rowOff>0</xdr:rowOff>
    </xdr:from>
    <xdr:to>
      <xdr:col>16</xdr:col>
      <xdr:colOff>466725</xdr:colOff>
      <xdr:row>89</xdr:row>
      <xdr:rowOff>57150</xdr:rowOff>
    </xdr:to>
    <xdr:graphicFrame>
      <xdr:nvGraphicFramePr>
        <xdr:cNvPr id="12" name="Chart 12"/>
        <xdr:cNvGraphicFramePr/>
      </xdr:nvGraphicFramePr>
      <xdr:xfrm>
        <a:off x="8496300" y="8905875"/>
        <a:ext cx="5924550" cy="3914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369</xdr:row>
      <xdr:rowOff>0</xdr:rowOff>
    </xdr:from>
    <xdr:to>
      <xdr:col>8</xdr:col>
      <xdr:colOff>590550</xdr:colOff>
      <xdr:row>396</xdr:row>
      <xdr:rowOff>19050</xdr:rowOff>
    </xdr:to>
    <xdr:graphicFrame>
      <xdr:nvGraphicFramePr>
        <xdr:cNvPr id="1" name="Chart 1"/>
        <xdr:cNvGraphicFramePr/>
      </xdr:nvGraphicFramePr>
      <xdr:xfrm>
        <a:off x="733425" y="57702450"/>
        <a:ext cx="62960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76</xdr:row>
      <xdr:rowOff>104775</xdr:rowOff>
    </xdr:from>
    <xdr:to>
      <xdr:col>9</xdr:col>
      <xdr:colOff>828675</xdr:colOff>
      <xdr:row>108</xdr:row>
      <xdr:rowOff>85725</xdr:rowOff>
    </xdr:to>
    <xdr:graphicFrame>
      <xdr:nvGraphicFramePr>
        <xdr:cNvPr id="2" name="Chart 2"/>
        <xdr:cNvGraphicFramePr/>
      </xdr:nvGraphicFramePr>
      <xdr:xfrm>
        <a:off x="809625" y="11010900"/>
        <a:ext cx="7315200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85725</xdr:colOff>
      <xdr:row>116</xdr:row>
      <xdr:rowOff>133350</xdr:rowOff>
    </xdr:from>
    <xdr:to>
      <xdr:col>9</xdr:col>
      <xdr:colOff>828675</xdr:colOff>
      <xdr:row>148</xdr:row>
      <xdr:rowOff>133350</xdr:rowOff>
    </xdr:to>
    <xdr:graphicFrame>
      <xdr:nvGraphicFramePr>
        <xdr:cNvPr id="3" name="Chart 3"/>
        <xdr:cNvGraphicFramePr/>
      </xdr:nvGraphicFramePr>
      <xdr:xfrm>
        <a:off x="809625" y="16868775"/>
        <a:ext cx="7315200" cy="5181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85725</xdr:colOff>
      <xdr:row>157</xdr:row>
      <xdr:rowOff>57150</xdr:rowOff>
    </xdr:from>
    <xdr:to>
      <xdr:col>9</xdr:col>
      <xdr:colOff>828675</xdr:colOff>
      <xdr:row>189</xdr:row>
      <xdr:rowOff>57150</xdr:rowOff>
    </xdr:to>
    <xdr:graphicFrame>
      <xdr:nvGraphicFramePr>
        <xdr:cNvPr id="4" name="Chart 4"/>
        <xdr:cNvGraphicFramePr/>
      </xdr:nvGraphicFramePr>
      <xdr:xfrm>
        <a:off x="809625" y="23431500"/>
        <a:ext cx="7315200" cy="5181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85725</xdr:colOff>
      <xdr:row>190</xdr:row>
      <xdr:rowOff>142875</xdr:rowOff>
    </xdr:from>
    <xdr:to>
      <xdr:col>9</xdr:col>
      <xdr:colOff>828675</xdr:colOff>
      <xdr:row>222</xdr:row>
      <xdr:rowOff>142875</xdr:rowOff>
    </xdr:to>
    <xdr:graphicFrame>
      <xdr:nvGraphicFramePr>
        <xdr:cNvPr id="5" name="Chart 5"/>
        <xdr:cNvGraphicFramePr/>
      </xdr:nvGraphicFramePr>
      <xdr:xfrm>
        <a:off x="809625" y="28860750"/>
        <a:ext cx="7315200" cy="5181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1143000</xdr:colOff>
      <xdr:row>261</xdr:row>
      <xdr:rowOff>66675</xdr:rowOff>
    </xdr:from>
    <xdr:to>
      <xdr:col>9</xdr:col>
      <xdr:colOff>876300</xdr:colOff>
      <xdr:row>288</xdr:row>
      <xdr:rowOff>114300</xdr:rowOff>
    </xdr:to>
    <xdr:graphicFrame>
      <xdr:nvGraphicFramePr>
        <xdr:cNvPr id="6" name="Chart 6"/>
        <xdr:cNvGraphicFramePr/>
      </xdr:nvGraphicFramePr>
      <xdr:xfrm>
        <a:off x="1866900" y="40281225"/>
        <a:ext cx="6305550" cy="4419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238125</xdr:colOff>
      <xdr:row>264</xdr:row>
      <xdr:rowOff>9525</xdr:rowOff>
    </xdr:from>
    <xdr:to>
      <xdr:col>8</xdr:col>
      <xdr:colOff>847725</xdr:colOff>
      <xdr:row>291</xdr:row>
      <xdr:rowOff>76200</xdr:rowOff>
    </xdr:to>
    <xdr:graphicFrame>
      <xdr:nvGraphicFramePr>
        <xdr:cNvPr id="7" name="Chart 8"/>
        <xdr:cNvGraphicFramePr/>
      </xdr:nvGraphicFramePr>
      <xdr:xfrm>
        <a:off x="962025" y="40709850"/>
        <a:ext cx="6324600" cy="4438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133350</xdr:colOff>
      <xdr:row>224</xdr:row>
      <xdr:rowOff>57150</xdr:rowOff>
    </xdr:from>
    <xdr:to>
      <xdr:col>9</xdr:col>
      <xdr:colOff>876300</xdr:colOff>
      <xdr:row>256</xdr:row>
      <xdr:rowOff>57150</xdr:rowOff>
    </xdr:to>
    <xdr:graphicFrame>
      <xdr:nvGraphicFramePr>
        <xdr:cNvPr id="8" name="Chart 9"/>
        <xdr:cNvGraphicFramePr/>
      </xdr:nvGraphicFramePr>
      <xdr:xfrm>
        <a:off x="857250" y="34280475"/>
        <a:ext cx="7315200" cy="5181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133350</xdr:colOff>
      <xdr:row>283</xdr:row>
      <xdr:rowOff>47625</xdr:rowOff>
    </xdr:from>
    <xdr:to>
      <xdr:col>8</xdr:col>
      <xdr:colOff>733425</xdr:colOff>
      <xdr:row>310</xdr:row>
      <xdr:rowOff>133350</xdr:rowOff>
    </xdr:to>
    <xdr:graphicFrame>
      <xdr:nvGraphicFramePr>
        <xdr:cNvPr id="9" name="Chart 10"/>
        <xdr:cNvGraphicFramePr/>
      </xdr:nvGraphicFramePr>
      <xdr:xfrm>
        <a:off x="857250" y="43824525"/>
        <a:ext cx="6315075" cy="4457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114300</xdr:colOff>
      <xdr:row>312</xdr:row>
      <xdr:rowOff>28575</xdr:rowOff>
    </xdr:from>
    <xdr:to>
      <xdr:col>8</xdr:col>
      <xdr:colOff>771525</xdr:colOff>
      <xdr:row>339</xdr:row>
      <xdr:rowOff>133350</xdr:rowOff>
    </xdr:to>
    <xdr:graphicFrame>
      <xdr:nvGraphicFramePr>
        <xdr:cNvPr id="10" name="Chart 12"/>
        <xdr:cNvGraphicFramePr/>
      </xdr:nvGraphicFramePr>
      <xdr:xfrm>
        <a:off x="838200" y="48501300"/>
        <a:ext cx="6372225" cy="4476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152400</xdr:colOff>
      <xdr:row>340</xdr:row>
      <xdr:rowOff>95250</xdr:rowOff>
    </xdr:from>
    <xdr:to>
      <xdr:col>8</xdr:col>
      <xdr:colOff>781050</xdr:colOff>
      <xdr:row>367</xdr:row>
      <xdr:rowOff>114300</xdr:rowOff>
    </xdr:to>
    <xdr:graphicFrame>
      <xdr:nvGraphicFramePr>
        <xdr:cNvPr id="11" name="Chart 14"/>
        <xdr:cNvGraphicFramePr/>
      </xdr:nvGraphicFramePr>
      <xdr:xfrm>
        <a:off x="876300" y="53101875"/>
        <a:ext cx="6343650" cy="4391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257175</xdr:colOff>
      <xdr:row>62</xdr:row>
      <xdr:rowOff>0</xdr:rowOff>
    </xdr:from>
    <xdr:to>
      <xdr:col>16</xdr:col>
      <xdr:colOff>466725</xdr:colOff>
      <xdr:row>89</xdr:row>
      <xdr:rowOff>57150</xdr:rowOff>
    </xdr:to>
    <xdr:graphicFrame>
      <xdr:nvGraphicFramePr>
        <xdr:cNvPr id="12" name="Chart 16"/>
        <xdr:cNvGraphicFramePr/>
      </xdr:nvGraphicFramePr>
      <xdr:xfrm>
        <a:off x="8496300" y="8905875"/>
        <a:ext cx="5924550" cy="3914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15</xdr:row>
      <xdr:rowOff>85725</xdr:rowOff>
    </xdr:from>
    <xdr:to>
      <xdr:col>13</xdr:col>
      <xdr:colOff>409575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1543050" y="2524125"/>
        <a:ext cx="67913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1"/>
  <sheetViews>
    <sheetView workbookViewId="0" topLeftCell="A1">
      <pane ySplit="1" topLeftCell="BM50" activePane="bottomLeft" state="frozen"/>
      <selection pane="topLeft" activeCell="D1" sqref="D1"/>
      <selection pane="bottomLeft" activeCell="A60" sqref="A60"/>
    </sheetView>
  </sheetViews>
  <sheetFormatPr defaultColWidth="9.140625" defaultRowHeight="12.75"/>
  <cols>
    <col min="1" max="1" width="10.8515625" style="1" bestFit="1" customWidth="1"/>
    <col min="2" max="2" width="20.00390625" style="1" bestFit="1" customWidth="1"/>
    <col min="3" max="3" width="8.00390625" style="1" bestFit="1" customWidth="1"/>
    <col min="4" max="4" width="13.7109375" style="1" bestFit="1" customWidth="1"/>
    <col min="5" max="5" width="7.421875" style="1" bestFit="1" customWidth="1"/>
    <col min="6" max="6" width="9.00390625" style="1" bestFit="1" customWidth="1"/>
    <col min="7" max="7" width="13.7109375" style="1" bestFit="1" customWidth="1"/>
    <col min="8" max="8" width="13.8515625" style="1" bestFit="1" customWidth="1"/>
    <col min="9" max="9" width="12.8515625" style="1" bestFit="1" customWidth="1"/>
    <col min="10" max="10" width="14.140625" style="1" bestFit="1" customWidth="1"/>
    <col min="11" max="11" width="16.00390625" style="1" bestFit="1" customWidth="1"/>
    <col min="12" max="12" width="16.140625" style="1" bestFit="1" customWidth="1"/>
    <col min="13" max="13" width="15.28125" style="1" bestFit="1" customWidth="1"/>
    <col min="14" max="14" width="16.421875" style="1" bestFit="1" customWidth="1"/>
    <col min="15" max="15" width="10.8515625" style="1" bestFit="1" customWidth="1"/>
    <col min="16" max="16" width="11.00390625" style="1" bestFit="1" customWidth="1"/>
    <col min="17" max="17" width="13.140625" style="1" bestFit="1" customWidth="1"/>
    <col min="18" max="18" width="16.00390625" style="1" bestFit="1" customWidth="1"/>
    <col min="19" max="19" width="20.57421875" style="1" bestFit="1" customWidth="1"/>
    <col min="20" max="20" width="14.00390625" style="1" bestFit="1" customWidth="1"/>
    <col min="21" max="21" width="14.8515625" style="1" bestFit="1" customWidth="1"/>
    <col min="22" max="22" width="14.140625" style="1" bestFit="1" customWidth="1"/>
    <col min="23" max="23" width="15.00390625" style="1" bestFit="1" customWidth="1"/>
    <col min="24" max="24" width="12.421875" style="1" bestFit="1" customWidth="1"/>
    <col min="25" max="25" width="20.8515625" style="1" bestFit="1" customWidth="1"/>
    <col min="26" max="26" width="9.8515625" style="1" bestFit="1" customWidth="1"/>
    <col min="27" max="27" width="12.140625" style="1" bestFit="1" customWidth="1"/>
    <col min="28" max="28" width="7.7109375" style="1" bestFit="1" customWidth="1"/>
    <col min="29" max="29" width="13.57421875" style="1" bestFit="1" customWidth="1"/>
    <col min="30" max="30" width="11.140625" style="1" bestFit="1" customWidth="1"/>
    <col min="31" max="31" width="12.140625" style="1" bestFit="1" customWidth="1"/>
    <col min="32" max="16384" width="9.140625" style="1" customWidth="1"/>
  </cols>
  <sheetData>
    <row r="1" spans="1:31" ht="12" thickBot="1">
      <c r="A1" s="75" t="s">
        <v>171</v>
      </c>
      <c r="B1" s="2" t="s">
        <v>34</v>
      </c>
      <c r="C1" s="2" t="s">
        <v>0</v>
      </c>
      <c r="D1" s="2" t="s">
        <v>9</v>
      </c>
      <c r="E1" s="2" t="s">
        <v>10</v>
      </c>
      <c r="F1" s="2" t="s">
        <v>1</v>
      </c>
      <c r="G1" s="2" t="s">
        <v>2</v>
      </c>
      <c r="H1" s="2" t="s">
        <v>3</v>
      </c>
      <c r="I1" s="2" t="s">
        <v>89</v>
      </c>
      <c r="J1" s="2" t="s">
        <v>88</v>
      </c>
      <c r="K1" s="2" t="s">
        <v>4</v>
      </c>
      <c r="L1" s="2" t="s">
        <v>5</v>
      </c>
      <c r="M1" s="2" t="s">
        <v>87</v>
      </c>
      <c r="N1" s="2" t="s">
        <v>86</v>
      </c>
      <c r="O1" s="2" t="s">
        <v>11</v>
      </c>
      <c r="P1" s="2" t="s">
        <v>12</v>
      </c>
      <c r="Q1" s="2" t="s">
        <v>19</v>
      </c>
      <c r="R1" s="2" t="s">
        <v>169</v>
      </c>
      <c r="S1" s="2" t="s">
        <v>170</v>
      </c>
      <c r="T1" s="2" t="s">
        <v>13</v>
      </c>
      <c r="U1" s="2" t="s">
        <v>14</v>
      </c>
      <c r="V1" s="2" t="s">
        <v>15</v>
      </c>
      <c r="W1" s="2" t="s">
        <v>16</v>
      </c>
      <c r="X1" s="2" t="s">
        <v>6</v>
      </c>
      <c r="Y1" s="2" t="s">
        <v>21</v>
      </c>
      <c r="Z1" s="2" t="s">
        <v>17</v>
      </c>
      <c r="AA1" s="2" t="s">
        <v>18</v>
      </c>
      <c r="AB1" s="2" t="s">
        <v>7</v>
      </c>
      <c r="AC1" s="2" t="s">
        <v>8</v>
      </c>
      <c r="AD1" s="2" t="s">
        <v>20</v>
      </c>
      <c r="AE1" s="2" t="s">
        <v>85</v>
      </c>
    </row>
    <row r="2" spans="1:31" ht="11.25">
      <c r="A2" s="1" t="s">
        <v>172</v>
      </c>
      <c r="B2" s="7" t="s">
        <v>35</v>
      </c>
      <c r="C2" s="6">
        <v>-15.14844</v>
      </c>
      <c r="D2" s="6">
        <v>189.1083</v>
      </c>
      <c r="E2" s="6">
        <f aca="true" t="shared" si="0" ref="E2:E33">(D2-180)</f>
        <v>9.108300000000014</v>
      </c>
      <c r="F2" s="6">
        <f aca="true" t="shared" si="1" ref="F2:F33">((180-E2)*-1)</f>
        <v>-170.8917</v>
      </c>
      <c r="G2" s="7">
        <v>2010</v>
      </c>
      <c r="H2" s="7">
        <v>1370</v>
      </c>
      <c r="I2" s="7">
        <f aca="true" t="shared" si="2" ref="I2:I33">(3.14159265*((G2/2)*(H2/2)))</f>
        <v>2162750.92007625</v>
      </c>
      <c r="J2" s="10">
        <f aca="true" t="shared" si="3" ref="J2:J33">I2/1000000</f>
        <v>2.1627509200762502</v>
      </c>
      <c r="K2" s="7">
        <v>350</v>
      </c>
      <c r="L2" s="7">
        <v>300</v>
      </c>
      <c r="M2" s="7">
        <f aca="true" t="shared" si="4" ref="M2:M33">(3.14159265*((K2/2)*(L2/2)))</f>
        <v>82466.80706250001</v>
      </c>
      <c r="N2" s="10">
        <f aca="true" t="shared" si="5" ref="N2:N33">M2/1000000</f>
        <v>0.08246680706250001</v>
      </c>
      <c r="O2" s="7">
        <v>110</v>
      </c>
      <c r="P2" s="7">
        <v>100</v>
      </c>
      <c r="Q2" s="7">
        <f aca="true" t="shared" si="6" ref="Q2:Q33">AVERAGE(O2:P2)</f>
        <v>105</v>
      </c>
      <c r="R2" s="11">
        <f>(48000/21158)</f>
        <v>2.268645429624728</v>
      </c>
      <c r="S2" s="10">
        <f aca="true" t="shared" si="7" ref="S2:S49">LN(R2)</f>
        <v>0.819182926343308</v>
      </c>
      <c r="T2" s="4">
        <v>5.4</v>
      </c>
      <c r="U2" s="5">
        <v>6.4</v>
      </c>
      <c r="V2" s="5">
        <v>6.4</v>
      </c>
      <c r="W2" s="5">
        <v>8.8</v>
      </c>
      <c r="X2" s="3">
        <f aca="true" t="shared" si="8" ref="X2:X33">AVERAGE(T2:W2)</f>
        <v>6.750000000000001</v>
      </c>
      <c r="Y2" s="9">
        <v>60</v>
      </c>
      <c r="Z2" s="8">
        <f aca="true" t="shared" si="9" ref="Z2:Z33">(AA2-Q2)</f>
        <v>-4505</v>
      </c>
      <c r="AA2" s="9">
        <v>-4400</v>
      </c>
      <c r="AB2" s="10">
        <f aca="true" t="shared" si="10" ref="AB2:AB33">(M2/I2)</f>
        <v>0.03813051530667829</v>
      </c>
      <c r="AC2" s="11">
        <f aca="true" t="shared" si="11" ref="AC2:AC33">(G2/H2)</f>
        <v>1.467153284671533</v>
      </c>
      <c r="AD2" s="7">
        <f aca="true" t="shared" si="12" ref="AD2:AD33">(1/3)*Q2*(M2+I2+(SQRT(M2*I2)))</f>
        <v>93363861.07747144</v>
      </c>
      <c r="AE2" s="11">
        <f aca="true" t="shared" si="13" ref="AE2:AE33">AD2/1000000000</f>
        <v>0.09336386107747144</v>
      </c>
    </row>
    <row r="3" spans="1:31" ht="11.25">
      <c r="A3" s="1" t="s">
        <v>173</v>
      </c>
      <c r="B3" s="7" t="s">
        <v>36</v>
      </c>
      <c r="C3" s="6">
        <v>-15.09629</v>
      </c>
      <c r="D3" s="6">
        <v>189.06009</v>
      </c>
      <c r="E3" s="6">
        <f t="shared" si="0"/>
        <v>9.060090000000002</v>
      </c>
      <c r="F3" s="6">
        <f t="shared" si="1"/>
        <v>-170.93991</v>
      </c>
      <c r="G3" s="7">
        <v>2600</v>
      </c>
      <c r="H3" s="7">
        <v>1780</v>
      </c>
      <c r="I3" s="7">
        <f t="shared" si="2"/>
        <v>3634822.6960500004</v>
      </c>
      <c r="J3" s="10">
        <f t="shared" si="3"/>
        <v>3.6348226960500005</v>
      </c>
      <c r="K3" s="7">
        <v>450</v>
      </c>
      <c r="L3" s="7">
        <v>270</v>
      </c>
      <c r="M3" s="7">
        <f t="shared" si="4"/>
        <v>95425.87674375</v>
      </c>
      <c r="N3" s="10">
        <f t="shared" si="5"/>
        <v>0.09542587674375001</v>
      </c>
      <c r="O3" s="7">
        <v>100</v>
      </c>
      <c r="P3" s="7">
        <v>120</v>
      </c>
      <c r="Q3" s="7">
        <f t="shared" si="6"/>
        <v>110</v>
      </c>
      <c r="R3" s="11">
        <f>(47000/21158)</f>
        <v>2.221381983174213</v>
      </c>
      <c r="S3" s="10">
        <f t="shared" si="7"/>
        <v>0.7981295171454759</v>
      </c>
      <c r="T3" s="4">
        <v>4.6</v>
      </c>
      <c r="U3" s="3">
        <v>4</v>
      </c>
      <c r="V3" s="3">
        <v>6.8</v>
      </c>
      <c r="W3" s="3">
        <v>8.2</v>
      </c>
      <c r="X3" s="3">
        <f t="shared" si="8"/>
        <v>5.8999999999999995</v>
      </c>
      <c r="Y3" s="8">
        <v>45</v>
      </c>
      <c r="Z3" s="8">
        <f t="shared" si="9"/>
        <v>-4460</v>
      </c>
      <c r="AA3" s="8">
        <v>-4350</v>
      </c>
      <c r="AB3" s="10">
        <f t="shared" si="10"/>
        <v>0.026253241140881588</v>
      </c>
      <c r="AC3" s="11">
        <f t="shared" si="11"/>
        <v>1.4606741573033708</v>
      </c>
      <c r="AD3" s="7">
        <f t="shared" si="12"/>
        <v>158370428.8095053</v>
      </c>
      <c r="AE3" s="11">
        <f t="shared" si="13"/>
        <v>0.1583704288095053</v>
      </c>
    </row>
    <row r="4" spans="1:31" ht="11.25">
      <c r="A4" s="1" t="s">
        <v>174</v>
      </c>
      <c r="B4" s="7" t="s">
        <v>37</v>
      </c>
      <c r="C4" s="6">
        <v>-14.45616</v>
      </c>
      <c r="D4" s="6">
        <v>190.18179</v>
      </c>
      <c r="E4" s="6">
        <f t="shared" si="0"/>
        <v>10.181790000000007</v>
      </c>
      <c r="F4" s="6">
        <f t="shared" si="1"/>
        <v>-169.81821</v>
      </c>
      <c r="G4" s="7">
        <v>2140</v>
      </c>
      <c r="H4" s="7">
        <v>1580</v>
      </c>
      <c r="I4" s="7">
        <f t="shared" si="2"/>
        <v>2655588.267045</v>
      </c>
      <c r="J4" s="10">
        <f t="shared" si="3"/>
        <v>2.655588267045</v>
      </c>
      <c r="K4" s="7">
        <v>240</v>
      </c>
      <c r="L4" s="7">
        <v>70</v>
      </c>
      <c r="M4" s="7">
        <f t="shared" si="4"/>
        <v>13194.68913</v>
      </c>
      <c r="N4" s="10">
        <f t="shared" si="5"/>
        <v>0.013194689130000001</v>
      </c>
      <c r="O4" s="7">
        <v>120</v>
      </c>
      <c r="P4" s="7">
        <v>120</v>
      </c>
      <c r="Q4" s="7">
        <f t="shared" si="6"/>
        <v>120</v>
      </c>
      <c r="R4" s="11">
        <f>(46000/21158)</f>
        <v>2.174118536723698</v>
      </c>
      <c r="S4" s="10">
        <f t="shared" si="7"/>
        <v>0.7766233119245122</v>
      </c>
      <c r="T4" s="4">
        <v>8.1</v>
      </c>
      <c r="U4" s="5">
        <v>6.8</v>
      </c>
      <c r="V4" s="5">
        <v>14.8</v>
      </c>
      <c r="W4" s="5">
        <v>10.4</v>
      </c>
      <c r="X4" s="3">
        <f t="shared" si="8"/>
        <v>10.025</v>
      </c>
      <c r="Y4" s="9">
        <v>10</v>
      </c>
      <c r="Z4" s="8">
        <f t="shared" si="9"/>
        <v>-3370</v>
      </c>
      <c r="AA4" s="9">
        <v>-3250</v>
      </c>
      <c r="AB4" s="10">
        <f t="shared" si="10"/>
        <v>0.004968650183366852</v>
      </c>
      <c r="AC4" s="11">
        <f t="shared" si="11"/>
        <v>1.3544303797468353</v>
      </c>
      <c r="AD4" s="7">
        <f t="shared" si="12"/>
        <v>114238871.8278096</v>
      </c>
      <c r="AE4" s="11">
        <f t="shared" si="13"/>
        <v>0.1142388718278096</v>
      </c>
    </row>
    <row r="5" spans="1:31" ht="11.25">
      <c r="A5" s="1" t="s">
        <v>175</v>
      </c>
      <c r="B5" s="7" t="s">
        <v>38</v>
      </c>
      <c r="C5" s="6">
        <v>-13.661</v>
      </c>
      <c r="D5" s="6">
        <v>189.50165</v>
      </c>
      <c r="E5" s="6">
        <f t="shared" si="0"/>
        <v>9.501650000000012</v>
      </c>
      <c r="F5" s="6">
        <f t="shared" si="1"/>
        <v>-170.49835</v>
      </c>
      <c r="G5" s="7">
        <v>1530</v>
      </c>
      <c r="H5" s="7">
        <v>1420</v>
      </c>
      <c r="I5" s="7">
        <f t="shared" si="2"/>
        <v>1706356.0478475</v>
      </c>
      <c r="J5" s="10">
        <f t="shared" si="3"/>
        <v>1.7063560478475002</v>
      </c>
      <c r="K5" s="7">
        <v>240</v>
      </c>
      <c r="L5" s="7">
        <v>140</v>
      </c>
      <c r="M5" s="7">
        <f t="shared" si="4"/>
        <v>26389.37826</v>
      </c>
      <c r="N5" s="10">
        <f t="shared" si="5"/>
        <v>0.026389378260000002</v>
      </c>
      <c r="O5" s="7">
        <v>150</v>
      </c>
      <c r="P5" s="7">
        <v>120</v>
      </c>
      <c r="Q5" s="7">
        <f t="shared" si="6"/>
        <v>135</v>
      </c>
      <c r="R5" s="11">
        <f>(44000/21158)</f>
        <v>2.0795916438226674</v>
      </c>
      <c r="S5" s="10">
        <f t="shared" si="7"/>
        <v>0.7321715493536782</v>
      </c>
      <c r="T5" s="4">
        <v>10.6</v>
      </c>
      <c r="U5" s="5">
        <v>12.9</v>
      </c>
      <c r="V5" s="5">
        <v>7.1</v>
      </c>
      <c r="W5" s="5">
        <v>9.1</v>
      </c>
      <c r="X5" s="3">
        <f t="shared" si="8"/>
        <v>9.925</v>
      </c>
      <c r="Y5" s="9">
        <v>5</v>
      </c>
      <c r="Z5" s="8">
        <f t="shared" si="9"/>
        <v>-4555</v>
      </c>
      <c r="AA5" s="9">
        <v>-4420</v>
      </c>
      <c r="AB5" s="10">
        <f t="shared" si="10"/>
        <v>0.015465341066003866</v>
      </c>
      <c r="AC5" s="11">
        <f t="shared" si="11"/>
        <v>1.0774647887323943</v>
      </c>
      <c r="AD5" s="7">
        <f t="shared" si="12"/>
        <v>87522632.73163676</v>
      </c>
      <c r="AE5" s="11">
        <f t="shared" si="13"/>
        <v>0.08752263273163677</v>
      </c>
    </row>
    <row r="6" spans="1:31" ht="11.25">
      <c r="A6" s="1" t="s">
        <v>176</v>
      </c>
      <c r="B6" s="7" t="s">
        <v>39</v>
      </c>
      <c r="C6" s="6">
        <v>-13.85079</v>
      </c>
      <c r="D6" s="6">
        <v>191.36578</v>
      </c>
      <c r="E6" s="6">
        <f t="shared" si="0"/>
        <v>11.36578</v>
      </c>
      <c r="F6" s="6">
        <f t="shared" si="1"/>
        <v>-168.63422</v>
      </c>
      <c r="G6" s="7">
        <v>2150</v>
      </c>
      <c r="H6" s="7">
        <v>1770</v>
      </c>
      <c r="I6" s="7">
        <f t="shared" si="2"/>
        <v>2988832.70739375</v>
      </c>
      <c r="J6" s="10">
        <f t="shared" si="3"/>
        <v>2.98883270739375</v>
      </c>
      <c r="K6" s="7">
        <v>150</v>
      </c>
      <c r="L6" s="7">
        <v>130</v>
      </c>
      <c r="M6" s="7">
        <f t="shared" si="4"/>
        <v>15315.264168750002</v>
      </c>
      <c r="N6" s="10">
        <f t="shared" si="5"/>
        <v>0.015315264168750002</v>
      </c>
      <c r="O6" s="7">
        <v>140</v>
      </c>
      <c r="P6" s="7">
        <v>130</v>
      </c>
      <c r="Q6" s="7">
        <f t="shared" si="6"/>
        <v>135</v>
      </c>
      <c r="R6" s="11">
        <f>(44000/21158)</f>
        <v>2.0795916438226674</v>
      </c>
      <c r="S6" s="10">
        <f t="shared" si="7"/>
        <v>0.7321715493536782</v>
      </c>
      <c r="T6" s="4">
        <v>7.7</v>
      </c>
      <c r="U6" s="5">
        <v>7.3</v>
      </c>
      <c r="V6" s="5">
        <v>7.7</v>
      </c>
      <c r="W6" s="5">
        <v>11</v>
      </c>
      <c r="X6" s="3">
        <f t="shared" si="8"/>
        <v>8.425</v>
      </c>
      <c r="Y6" s="9">
        <v>160</v>
      </c>
      <c r="Z6" s="8">
        <f t="shared" si="9"/>
        <v>-5205</v>
      </c>
      <c r="AA6" s="9">
        <v>-5070</v>
      </c>
      <c r="AB6" s="10">
        <f t="shared" si="10"/>
        <v>0.005124162396531337</v>
      </c>
      <c r="AC6" s="11">
        <f t="shared" si="11"/>
        <v>1.2146892655367232</v>
      </c>
      <c r="AD6" s="7">
        <f t="shared" si="12"/>
        <v>144814425.54349738</v>
      </c>
      <c r="AE6" s="11">
        <f t="shared" si="13"/>
        <v>0.14481442554349738</v>
      </c>
    </row>
    <row r="7" spans="1:31" ht="11.25">
      <c r="A7" s="1" t="s">
        <v>177</v>
      </c>
      <c r="B7" s="7" t="s">
        <v>40</v>
      </c>
      <c r="C7" s="6">
        <v>-13.91595</v>
      </c>
      <c r="D7" s="6">
        <v>191.23218</v>
      </c>
      <c r="E7" s="6">
        <f t="shared" si="0"/>
        <v>11.23218</v>
      </c>
      <c r="F7" s="6">
        <f t="shared" si="1"/>
        <v>-168.76782</v>
      </c>
      <c r="G7" s="7">
        <v>2060</v>
      </c>
      <c r="H7" s="7">
        <v>1790</v>
      </c>
      <c r="I7" s="7">
        <f t="shared" si="2"/>
        <v>2896077.1844025003</v>
      </c>
      <c r="J7" s="10">
        <f t="shared" si="3"/>
        <v>2.8960771844025004</v>
      </c>
      <c r="K7" s="7">
        <v>210</v>
      </c>
      <c r="L7" s="7">
        <v>80</v>
      </c>
      <c r="M7" s="7">
        <f t="shared" si="4"/>
        <v>13194.68913</v>
      </c>
      <c r="N7" s="10">
        <f t="shared" si="5"/>
        <v>0.013194689130000001</v>
      </c>
      <c r="O7" s="7">
        <v>130</v>
      </c>
      <c r="P7" s="7">
        <v>160</v>
      </c>
      <c r="Q7" s="7">
        <f t="shared" si="6"/>
        <v>145</v>
      </c>
      <c r="R7" s="11">
        <f>(43000/21158)</f>
        <v>2.0323281973721525</v>
      </c>
      <c r="S7" s="10">
        <f t="shared" si="7"/>
        <v>0.7091820311289797</v>
      </c>
      <c r="T7" s="4">
        <v>8.4</v>
      </c>
      <c r="U7" s="5">
        <v>11.5</v>
      </c>
      <c r="V7" s="5">
        <v>7.7</v>
      </c>
      <c r="W7" s="5">
        <v>8.3</v>
      </c>
      <c r="X7" s="3">
        <f t="shared" si="8"/>
        <v>8.975</v>
      </c>
      <c r="Y7" s="9">
        <v>70</v>
      </c>
      <c r="Z7" s="8">
        <f t="shared" si="9"/>
        <v>-5165</v>
      </c>
      <c r="AA7" s="9">
        <v>-5020</v>
      </c>
      <c r="AB7" s="10">
        <f t="shared" si="10"/>
        <v>0.0045560557574442695</v>
      </c>
      <c r="AC7" s="11">
        <f t="shared" si="11"/>
        <v>1.1508379888268156</v>
      </c>
      <c r="AD7" s="7">
        <f t="shared" si="12"/>
        <v>150063057.6289808</v>
      </c>
      <c r="AE7" s="11">
        <f t="shared" si="13"/>
        <v>0.15006305762898078</v>
      </c>
    </row>
    <row r="8" spans="1:31" ht="11.25">
      <c r="A8" s="1" t="s">
        <v>178</v>
      </c>
      <c r="B8" s="7" t="s">
        <v>41</v>
      </c>
      <c r="C8" s="6">
        <v>-14.59628</v>
      </c>
      <c r="D8" s="6">
        <v>191.48378</v>
      </c>
      <c r="E8" s="6">
        <f t="shared" si="0"/>
        <v>11.483779999999996</v>
      </c>
      <c r="F8" s="6">
        <f t="shared" si="1"/>
        <v>-168.51622</v>
      </c>
      <c r="G8" s="7">
        <v>1920</v>
      </c>
      <c r="H8" s="7">
        <v>1650</v>
      </c>
      <c r="I8" s="7">
        <f t="shared" si="2"/>
        <v>2488141.3788</v>
      </c>
      <c r="J8" s="10">
        <f t="shared" si="3"/>
        <v>2.4881413788</v>
      </c>
      <c r="K8" s="7">
        <v>170</v>
      </c>
      <c r="L8" s="7">
        <v>130</v>
      </c>
      <c r="M8" s="7">
        <f t="shared" si="4"/>
        <v>17357.299391250002</v>
      </c>
      <c r="N8" s="10">
        <f t="shared" si="5"/>
        <v>0.01735729939125</v>
      </c>
      <c r="O8" s="7">
        <v>150</v>
      </c>
      <c r="P8" s="7">
        <v>150</v>
      </c>
      <c r="Q8" s="7">
        <f t="shared" si="6"/>
        <v>150</v>
      </c>
      <c r="R8" s="11">
        <f>(42000/21158)</f>
        <v>1.9850647509216373</v>
      </c>
      <c r="S8" s="10">
        <f t="shared" si="7"/>
        <v>0.6856515337187855</v>
      </c>
      <c r="T8" s="4">
        <v>10.9</v>
      </c>
      <c r="U8" s="5">
        <v>10.1</v>
      </c>
      <c r="V8" s="5">
        <v>9.5</v>
      </c>
      <c r="W8" s="5">
        <v>8.2</v>
      </c>
      <c r="X8" s="3">
        <f t="shared" si="8"/>
        <v>9.675</v>
      </c>
      <c r="Y8" s="9">
        <v>5</v>
      </c>
      <c r="Z8" s="8">
        <f t="shared" si="9"/>
        <v>-5030</v>
      </c>
      <c r="AA8" s="9">
        <v>-4880</v>
      </c>
      <c r="AB8" s="10">
        <f t="shared" si="10"/>
        <v>0.006976010101010102</v>
      </c>
      <c r="AC8" s="11">
        <f t="shared" si="11"/>
        <v>1.1636363636363636</v>
      </c>
      <c r="AD8" s="7">
        <f t="shared" si="12"/>
        <v>135665724.88517997</v>
      </c>
      <c r="AE8" s="11">
        <f t="shared" si="13"/>
        <v>0.13566572488517997</v>
      </c>
    </row>
    <row r="9" spans="1:31" ht="11.25">
      <c r="A9" s="1" t="s">
        <v>179</v>
      </c>
      <c r="B9" s="7" t="s">
        <v>42</v>
      </c>
      <c r="C9" s="6">
        <v>-14.72782</v>
      </c>
      <c r="D9" s="6">
        <v>189.27394</v>
      </c>
      <c r="E9" s="6">
        <f t="shared" si="0"/>
        <v>9.27394000000001</v>
      </c>
      <c r="F9" s="6">
        <f t="shared" si="1"/>
        <v>-170.72606</v>
      </c>
      <c r="G9" s="7">
        <v>2380</v>
      </c>
      <c r="H9" s="7">
        <v>1820</v>
      </c>
      <c r="I9" s="7">
        <f t="shared" si="2"/>
        <v>3402030.680685</v>
      </c>
      <c r="J9" s="10">
        <f t="shared" si="3"/>
        <v>3.402030680685</v>
      </c>
      <c r="K9" s="7">
        <v>250</v>
      </c>
      <c r="L9" s="7">
        <v>250</v>
      </c>
      <c r="M9" s="7">
        <f t="shared" si="4"/>
        <v>49087.385156250006</v>
      </c>
      <c r="N9" s="10">
        <f t="shared" si="5"/>
        <v>0.04908738515625</v>
      </c>
      <c r="O9" s="7">
        <v>150</v>
      </c>
      <c r="P9" s="7">
        <v>170</v>
      </c>
      <c r="Q9" s="7">
        <f t="shared" si="6"/>
        <v>160</v>
      </c>
      <c r="R9" s="11">
        <f>(41000/21158)</f>
        <v>1.937801304471122</v>
      </c>
      <c r="S9" s="10">
        <f t="shared" si="7"/>
        <v>0.6615539821397249</v>
      </c>
      <c r="T9" s="4">
        <v>11.6</v>
      </c>
      <c r="U9" s="5">
        <v>6.6</v>
      </c>
      <c r="V9" s="5">
        <v>13.6</v>
      </c>
      <c r="W9" s="5">
        <v>11.6</v>
      </c>
      <c r="X9" s="3">
        <f t="shared" si="8"/>
        <v>10.85</v>
      </c>
      <c r="Y9" s="9">
        <v>35</v>
      </c>
      <c r="Z9" s="8">
        <f t="shared" si="9"/>
        <v>-3730</v>
      </c>
      <c r="AA9" s="9">
        <v>-3570</v>
      </c>
      <c r="AB9" s="10">
        <f t="shared" si="10"/>
        <v>0.01442884846246191</v>
      </c>
      <c r="AC9" s="11">
        <f t="shared" si="11"/>
        <v>1.3076923076923077</v>
      </c>
      <c r="AD9" s="7">
        <f t="shared" si="12"/>
        <v>205854425.25665292</v>
      </c>
      <c r="AE9" s="11">
        <f t="shared" si="13"/>
        <v>0.20585442525665293</v>
      </c>
    </row>
    <row r="10" spans="1:31" ht="11.25">
      <c r="A10" s="1" t="s">
        <v>180</v>
      </c>
      <c r="B10" s="7" t="s">
        <v>43</v>
      </c>
      <c r="C10" s="6">
        <v>-15.12972</v>
      </c>
      <c r="D10" s="6">
        <v>189.03105</v>
      </c>
      <c r="E10" s="6">
        <f t="shared" si="0"/>
        <v>9.031049999999993</v>
      </c>
      <c r="F10" s="6">
        <f t="shared" si="1"/>
        <v>-170.96895</v>
      </c>
      <c r="G10" s="7">
        <v>2310</v>
      </c>
      <c r="H10" s="7">
        <v>1920</v>
      </c>
      <c r="I10" s="7">
        <f t="shared" si="2"/>
        <v>3483397.9303200003</v>
      </c>
      <c r="J10" s="10">
        <f t="shared" si="3"/>
        <v>3.4833979303200002</v>
      </c>
      <c r="K10" s="7">
        <v>290</v>
      </c>
      <c r="L10" s="7">
        <v>250</v>
      </c>
      <c r="M10" s="7">
        <f t="shared" si="4"/>
        <v>56941.366781250006</v>
      </c>
      <c r="N10" s="10">
        <f t="shared" si="5"/>
        <v>0.05694136678125001</v>
      </c>
      <c r="O10" s="7">
        <v>170</v>
      </c>
      <c r="P10" s="7">
        <v>160</v>
      </c>
      <c r="Q10" s="7">
        <f t="shared" si="6"/>
        <v>165</v>
      </c>
      <c r="R10" s="11">
        <f>(40000/21158)</f>
        <v>1.890537858020607</v>
      </c>
      <c r="S10" s="10">
        <f t="shared" si="7"/>
        <v>0.6368613695493535</v>
      </c>
      <c r="T10" s="4">
        <v>7.6</v>
      </c>
      <c r="U10" s="3">
        <v>8.5</v>
      </c>
      <c r="V10" s="3">
        <v>8.5</v>
      </c>
      <c r="W10" s="3">
        <v>9</v>
      </c>
      <c r="X10" s="3">
        <f t="shared" si="8"/>
        <v>8.4</v>
      </c>
      <c r="Y10" s="8">
        <v>85</v>
      </c>
      <c r="Z10" s="8">
        <f t="shared" si="9"/>
        <v>-4485</v>
      </c>
      <c r="AA10" s="8">
        <v>-4320</v>
      </c>
      <c r="AB10" s="10">
        <f t="shared" si="10"/>
        <v>0.016346500721500724</v>
      </c>
      <c r="AC10" s="11">
        <f t="shared" si="11"/>
        <v>1.203125</v>
      </c>
      <c r="AD10" s="7">
        <f t="shared" si="12"/>
        <v>219213702.7482921</v>
      </c>
      <c r="AE10" s="11">
        <f t="shared" si="13"/>
        <v>0.21921370274829208</v>
      </c>
    </row>
    <row r="11" spans="1:31" ht="11.25">
      <c r="A11" s="1" t="s">
        <v>181</v>
      </c>
      <c r="B11" s="7" t="s">
        <v>44</v>
      </c>
      <c r="C11" s="6">
        <v>-14.36949</v>
      </c>
      <c r="D11" s="6">
        <v>191.25011</v>
      </c>
      <c r="E11" s="6">
        <f t="shared" si="0"/>
        <v>11.250110000000006</v>
      </c>
      <c r="F11" s="6">
        <f t="shared" si="1"/>
        <v>-168.74989</v>
      </c>
      <c r="G11" s="7">
        <v>2100</v>
      </c>
      <c r="H11" s="7">
        <v>2090</v>
      </c>
      <c r="I11" s="7">
        <f t="shared" si="2"/>
        <v>3447112.5352125</v>
      </c>
      <c r="J11" s="10">
        <f t="shared" si="3"/>
        <v>3.4471125352125</v>
      </c>
      <c r="K11" s="7">
        <v>170</v>
      </c>
      <c r="L11" s="7">
        <v>170</v>
      </c>
      <c r="M11" s="7">
        <f t="shared" si="4"/>
        <v>22698.00689625</v>
      </c>
      <c r="N11" s="10">
        <f t="shared" si="5"/>
        <v>0.02269800689625</v>
      </c>
      <c r="O11" s="7">
        <v>190</v>
      </c>
      <c r="P11" s="7">
        <v>200</v>
      </c>
      <c r="Q11" s="7">
        <f t="shared" si="6"/>
        <v>195</v>
      </c>
      <c r="R11" s="11">
        <f>(39000/21158)</f>
        <v>1.8432744115700916</v>
      </c>
      <c r="S11" s="10">
        <f t="shared" si="7"/>
        <v>0.6115435615650636</v>
      </c>
      <c r="T11" s="4">
        <v>9.9</v>
      </c>
      <c r="U11" s="5">
        <v>11.7</v>
      </c>
      <c r="V11" s="5">
        <v>12.2</v>
      </c>
      <c r="W11" s="5">
        <v>9.8</v>
      </c>
      <c r="X11" s="3">
        <f t="shared" si="8"/>
        <v>10.899999999999999</v>
      </c>
      <c r="Y11" s="9">
        <v>20</v>
      </c>
      <c r="Z11" s="8">
        <f t="shared" si="9"/>
        <v>-4935</v>
      </c>
      <c r="AA11" s="9">
        <v>-4740</v>
      </c>
      <c r="AB11" s="10">
        <f t="shared" si="10"/>
        <v>0.0065846434267486905</v>
      </c>
      <c r="AC11" s="11">
        <f t="shared" si="11"/>
        <v>1.0047846889952152</v>
      </c>
      <c r="AD11" s="7">
        <f t="shared" si="12"/>
        <v>243719404.56740996</v>
      </c>
      <c r="AE11" s="11">
        <f t="shared" si="13"/>
        <v>0.24371940456740995</v>
      </c>
    </row>
    <row r="12" spans="1:31" ht="11.25">
      <c r="A12" s="1" t="s">
        <v>182</v>
      </c>
      <c r="B12" s="7" t="s">
        <v>46</v>
      </c>
      <c r="C12" s="6">
        <v>-14.25079</v>
      </c>
      <c r="D12" s="6">
        <v>189.7505</v>
      </c>
      <c r="E12" s="6">
        <f t="shared" si="0"/>
        <v>9.750499999999988</v>
      </c>
      <c r="F12" s="6">
        <f t="shared" si="1"/>
        <v>-170.2495</v>
      </c>
      <c r="G12" s="7">
        <v>1930</v>
      </c>
      <c r="H12" s="7">
        <v>1800</v>
      </c>
      <c r="I12" s="7">
        <f t="shared" si="2"/>
        <v>2728473.216525</v>
      </c>
      <c r="J12" s="10">
        <f t="shared" si="3"/>
        <v>2.728473216525</v>
      </c>
      <c r="K12" s="7">
        <v>70</v>
      </c>
      <c r="L12" s="7">
        <v>80</v>
      </c>
      <c r="M12" s="7">
        <f t="shared" si="4"/>
        <v>4398.2297100000005</v>
      </c>
      <c r="N12" s="10">
        <f t="shared" si="5"/>
        <v>0.004398229710000001</v>
      </c>
      <c r="O12" s="7">
        <v>210</v>
      </c>
      <c r="P12" s="7">
        <v>220</v>
      </c>
      <c r="Q12" s="7">
        <f t="shared" si="6"/>
        <v>215</v>
      </c>
      <c r="R12" s="11">
        <f>(37000/21158)</f>
        <v>1.7487475186690613</v>
      </c>
      <c r="S12" s="10">
        <f t="shared" si="7"/>
        <v>0.5588998280796416</v>
      </c>
      <c r="T12" s="4">
        <v>13.4</v>
      </c>
      <c r="U12" s="5">
        <v>10.7</v>
      </c>
      <c r="V12" s="5">
        <v>15.3</v>
      </c>
      <c r="W12" s="5">
        <v>12.5</v>
      </c>
      <c r="X12" s="3">
        <f t="shared" si="8"/>
        <v>12.975000000000001</v>
      </c>
      <c r="Y12" s="9">
        <v>75</v>
      </c>
      <c r="Z12" s="8">
        <f t="shared" si="9"/>
        <v>-2995</v>
      </c>
      <c r="AA12" s="9">
        <v>-2780</v>
      </c>
      <c r="AB12" s="10">
        <f t="shared" si="10"/>
        <v>0.0016119746689694878</v>
      </c>
      <c r="AC12" s="11">
        <f t="shared" si="11"/>
        <v>1.0722222222222222</v>
      </c>
      <c r="AD12" s="7">
        <f t="shared" si="12"/>
        <v>203706624.81252983</v>
      </c>
      <c r="AE12" s="11">
        <f t="shared" si="13"/>
        <v>0.20370662481252982</v>
      </c>
    </row>
    <row r="13" spans="1:31" ht="11.25">
      <c r="A13" s="1" t="s">
        <v>183</v>
      </c>
      <c r="B13" s="7" t="s">
        <v>45</v>
      </c>
      <c r="C13" s="6">
        <v>-14.53771</v>
      </c>
      <c r="D13" s="6">
        <v>189.30945</v>
      </c>
      <c r="E13" s="6">
        <f t="shared" si="0"/>
        <v>9.309449999999998</v>
      </c>
      <c r="F13" s="6">
        <f t="shared" si="1"/>
        <v>-170.69055</v>
      </c>
      <c r="G13" s="7">
        <v>2250</v>
      </c>
      <c r="H13" s="7">
        <v>2130</v>
      </c>
      <c r="I13" s="7">
        <f t="shared" si="2"/>
        <v>3764020.69378125</v>
      </c>
      <c r="J13" s="10">
        <f t="shared" si="3"/>
        <v>3.76402069378125</v>
      </c>
      <c r="K13" s="7">
        <v>220</v>
      </c>
      <c r="L13" s="7">
        <v>190</v>
      </c>
      <c r="M13" s="7">
        <f t="shared" si="4"/>
        <v>32829.6431925</v>
      </c>
      <c r="N13" s="10">
        <f t="shared" si="5"/>
        <v>0.0328296431925</v>
      </c>
      <c r="O13" s="7">
        <v>220</v>
      </c>
      <c r="P13" s="7">
        <v>210</v>
      </c>
      <c r="Q13" s="7">
        <f t="shared" si="6"/>
        <v>215</v>
      </c>
      <c r="R13" s="11">
        <f>(37000/21158)</f>
        <v>1.7487475186690613</v>
      </c>
      <c r="S13" s="10">
        <f t="shared" si="7"/>
        <v>0.5588998280796416</v>
      </c>
      <c r="T13" s="4">
        <v>13.2</v>
      </c>
      <c r="U13" s="5">
        <v>10.1</v>
      </c>
      <c r="V13" s="5">
        <v>11.3</v>
      </c>
      <c r="W13" s="5">
        <v>11.6</v>
      </c>
      <c r="X13" s="3">
        <f t="shared" si="8"/>
        <v>11.549999999999999</v>
      </c>
      <c r="Y13" s="9">
        <v>5</v>
      </c>
      <c r="Z13" s="8">
        <f t="shared" si="9"/>
        <v>-3275</v>
      </c>
      <c r="AA13" s="9">
        <v>-3060</v>
      </c>
      <c r="AB13" s="10">
        <f t="shared" si="10"/>
        <v>0.008721961398017735</v>
      </c>
      <c r="AC13" s="11">
        <f t="shared" si="11"/>
        <v>1.056338028169014</v>
      </c>
      <c r="AD13" s="7">
        <f t="shared" si="12"/>
        <v>297300398.7130519</v>
      </c>
      <c r="AE13" s="11">
        <f t="shared" si="13"/>
        <v>0.2973003987130519</v>
      </c>
    </row>
    <row r="14" spans="1:31" ht="11.25">
      <c r="A14" s="1" t="s">
        <v>184</v>
      </c>
      <c r="B14" s="7" t="s">
        <v>47</v>
      </c>
      <c r="C14" s="6">
        <v>-14.42799</v>
      </c>
      <c r="D14" s="6">
        <v>190.2436</v>
      </c>
      <c r="E14" s="6">
        <f t="shared" si="0"/>
        <v>10.243599999999986</v>
      </c>
      <c r="F14" s="6">
        <f t="shared" si="1"/>
        <v>-169.7564</v>
      </c>
      <c r="G14" s="7">
        <v>6340</v>
      </c>
      <c r="H14" s="7">
        <v>4030</v>
      </c>
      <c r="I14" s="7">
        <f t="shared" si="2"/>
        <v>20067080.1315075</v>
      </c>
      <c r="J14" s="10">
        <f t="shared" si="3"/>
        <v>20.067080131507502</v>
      </c>
      <c r="K14" s="7">
        <v>2350</v>
      </c>
      <c r="L14" s="7">
        <v>1110</v>
      </c>
      <c r="M14" s="7">
        <f t="shared" si="4"/>
        <v>2048711.1068812502</v>
      </c>
      <c r="N14" s="10">
        <f t="shared" si="5"/>
        <v>2.04871110688125</v>
      </c>
      <c r="O14" s="7">
        <v>210</v>
      </c>
      <c r="P14" s="7">
        <v>230</v>
      </c>
      <c r="Q14" s="7">
        <f t="shared" si="6"/>
        <v>220</v>
      </c>
      <c r="R14" s="11">
        <f>(36000/21158)</f>
        <v>1.7014840722185463</v>
      </c>
      <c r="S14" s="10">
        <f t="shared" si="7"/>
        <v>0.5315008538915272</v>
      </c>
      <c r="T14" s="4">
        <v>4.4</v>
      </c>
      <c r="U14" s="5">
        <v>7.2</v>
      </c>
      <c r="V14" s="5">
        <v>7.9</v>
      </c>
      <c r="W14" s="5">
        <v>8</v>
      </c>
      <c r="X14" s="3">
        <f t="shared" si="8"/>
        <v>6.875</v>
      </c>
      <c r="Y14" s="9">
        <v>70</v>
      </c>
      <c r="Z14" s="8">
        <f t="shared" si="9"/>
        <v>-3360</v>
      </c>
      <c r="AA14" s="9">
        <v>-3140</v>
      </c>
      <c r="AB14" s="10">
        <f t="shared" si="10"/>
        <v>0.10209313430031859</v>
      </c>
      <c r="AC14" s="11">
        <f t="shared" si="11"/>
        <v>1.5732009925558312</v>
      </c>
      <c r="AD14" s="7">
        <f t="shared" si="12"/>
        <v>2092026049.2762568</v>
      </c>
      <c r="AE14" s="11">
        <f t="shared" si="13"/>
        <v>2.092026049276257</v>
      </c>
    </row>
    <row r="15" spans="1:31" ht="11.25">
      <c r="A15" s="1" t="s">
        <v>185</v>
      </c>
      <c r="B15" s="7" t="s">
        <v>48</v>
      </c>
      <c r="C15" s="6">
        <v>-13.91661</v>
      </c>
      <c r="D15" s="6">
        <v>189.61658</v>
      </c>
      <c r="E15" s="6">
        <f t="shared" si="0"/>
        <v>9.616579999999999</v>
      </c>
      <c r="F15" s="6">
        <f t="shared" si="1"/>
        <v>-170.38342</v>
      </c>
      <c r="G15" s="7">
        <v>2920</v>
      </c>
      <c r="H15" s="7">
        <v>2460</v>
      </c>
      <c r="I15" s="7">
        <f t="shared" si="2"/>
        <v>5641672.080870001</v>
      </c>
      <c r="J15" s="10">
        <f t="shared" si="3"/>
        <v>5.64167208087</v>
      </c>
      <c r="K15" s="7">
        <v>210</v>
      </c>
      <c r="L15" s="7">
        <v>140</v>
      </c>
      <c r="M15" s="7">
        <f t="shared" si="4"/>
        <v>23090.7059775</v>
      </c>
      <c r="N15" s="10">
        <f t="shared" si="5"/>
        <v>0.0230907059775</v>
      </c>
      <c r="O15" s="7">
        <v>260</v>
      </c>
      <c r="P15" s="7">
        <v>200</v>
      </c>
      <c r="Q15" s="7">
        <f t="shared" si="6"/>
        <v>230</v>
      </c>
      <c r="R15" s="11">
        <f>(35000/21158)</f>
        <v>1.654220625768031</v>
      </c>
      <c r="S15" s="10">
        <f t="shared" si="7"/>
        <v>0.5033299769248308</v>
      </c>
      <c r="T15" s="4">
        <v>12.2</v>
      </c>
      <c r="U15" s="5">
        <v>11.6</v>
      </c>
      <c r="V15" s="5">
        <v>8</v>
      </c>
      <c r="W15" s="5">
        <v>8.8</v>
      </c>
      <c r="X15" s="3">
        <f t="shared" si="8"/>
        <v>10.149999999999999</v>
      </c>
      <c r="Y15" s="9">
        <v>85</v>
      </c>
      <c r="Z15" s="8">
        <f t="shared" si="9"/>
        <v>-3970</v>
      </c>
      <c r="AA15" s="9">
        <v>-3740</v>
      </c>
      <c r="AB15" s="10">
        <f t="shared" si="10"/>
        <v>0.00409288339458737</v>
      </c>
      <c r="AC15" s="11">
        <f t="shared" si="11"/>
        <v>1.1869918699186992</v>
      </c>
      <c r="AD15" s="7">
        <f t="shared" si="12"/>
        <v>461969751.26041037</v>
      </c>
      <c r="AE15" s="11">
        <f t="shared" si="13"/>
        <v>0.46196975126041034</v>
      </c>
    </row>
    <row r="16" spans="1:31" ht="11.25">
      <c r="A16" s="1" t="s">
        <v>186</v>
      </c>
      <c r="B16" s="7" t="s">
        <v>49</v>
      </c>
      <c r="C16" s="6">
        <v>-14.40115</v>
      </c>
      <c r="D16" s="6">
        <v>190.2147</v>
      </c>
      <c r="E16" s="6">
        <f t="shared" si="0"/>
        <v>10.214699999999993</v>
      </c>
      <c r="F16" s="6">
        <f t="shared" si="1"/>
        <v>-169.7853</v>
      </c>
      <c r="G16" s="7">
        <v>2890</v>
      </c>
      <c r="H16" s="7">
        <v>2440</v>
      </c>
      <c r="I16" s="7">
        <f t="shared" si="2"/>
        <v>5538313.682685001</v>
      </c>
      <c r="J16" s="10">
        <f t="shared" si="3"/>
        <v>5.538313682685001</v>
      </c>
      <c r="K16" s="7">
        <v>200</v>
      </c>
      <c r="L16" s="7">
        <v>320</v>
      </c>
      <c r="M16" s="7">
        <f t="shared" si="4"/>
        <v>50265.4824</v>
      </c>
      <c r="N16" s="10">
        <f t="shared" si="5"/>
        <v>0.0502654824</v>
      </c>
      <c r="O16" s="7">
        <v>280</v>
      </c>
      <c r="P16" s="7">
        <v>190</v>
      </c>
      <c r="Q16" s="7">
        <f t="shared" si="6"/>
        <v>235</v>
      </c>
      <c r="R16" s="11">
        <f>(34000/21158)</f>
        <v>1.606957179317516</v>
      </c>
      <c r="S16" s="10">
        <f t="shared" si="7"/>
        <v>0.4743424400515786</v>
      </c>
      <c r="T16" s="4">
        <v>11.9</v>
      </c>
      <c r="U16" s="5">
        <v>8</v>
      </c>
      <c r="V16" s="5">
        <v>12.1</v>
      </c>
      <c r="W16" s="5">
        <v>8</v>
      </c>
      <c r="X16" s="3">
        <f t="shared" si="8"/>
        <v>10</v>
      </c>
      <c r="Y16" s="9">
        <v>120</v>
      </c>
      <c r="Z16" s="8">
        <f t="shared" si="9"/>
        <v>-3385</v>
      </c>
      <c r="AA16" s="9">
        <v>-3150</v>
      </c>
      <c r="AB16" s="10">
        <f t="shared" si="10"/>
        <v>0.009075954393329172</v>
      </c>
      <c r="AC16" s="11">
        <f t="shared" si="11"/>
        <v>1.1844262295081966</v>
      </c>
      <c r="AD16" s="7">
        <f t="shared" si="12"/>
        <v>479102501.3589493</v>
      </c>
      <c r="AE16" s="11">
        <f t="shared" si="13"/>
        <v>0.47910250135894933</v>
      </c>
    </row>
    <row r="17" spans="1:31" ht="11.25">
      <c r="A17" s="1" t="s">
        <v>187</v>
      </c>
      <c r="B17" s="7" t="s">
        <v>50</v>
      </c>
      <c r="C17" s="6">
        <v>-14.65214</v>
      </c>
      <c r="D17" s="6">
        <v>191.20155</v>
      </c>
      <c r="E17" s="6">
        <f t="shared" si="0"/>
        <v>11.201549999999997</v>
      </c>
      <c r="F17" s="6">
        <f t="shared" si="1"/>
        <v>-168.79845</v>
      </c>
      <c r="G17" s="7">
        <v>2480</v>
      </c>
      <c r="H17" s="7">
        <v>2110</v>
      </c>
      <c r="I17" s="7">
        <f t="shared" si="2"/>
        <v>4109831.50473</v>
      </c>
      <c r="J17" s="10">
        <f t="shared" si="3"/>
        <v>4.10983150473</v>
      </c>
      <c r="K17" s="7">
        <v>60</v>
      </c>
      <c r="L17" s="7">
        <v>130</v>
      </c>
      <c r="M17" s="7">
        <f t="shared" si="4"/>
        <v>6126.1056675</v>
      </c>
      <c r="N17" s="10">
        <f t="shared" si="5"/>
        <v>0.0061261056675</v>
      </c>
      <c r="O17" s="7">
        <v>270</v>
      </c>
      <c r="P17" s="7">
        <v>260</v>
      </c>
      <c r="Q17" s="7">
        <f t="shared" si="6"/>
        <v>265</v>
      </c>
      <c r="R17" s="11">
        <f>(33000/21158)</f>
        <v>1.5596937328670006</v>
      </c>
      <c r="S17" s="10">
        <f t="shared" si="7"/>
        <v>0.4444894769018974</v>
      </c>
      <c r="T17" s="4">
        <v>10.8</v>
      </c>
      <c r="U17" s="5">
        <v>12.6</v>
      </c>
      <c r="V17" s="5">
        <v>14.9</v>
      </c>
      <c r="W17" s="5">
        <v>13.6</v>
      </c>
      <c r="X17" s="3">
        <f t="shared" si="8"/>
        <v>12.975</v>
      </c>
      <c r="Y17" s="9">
        <v>115</v>
      </c>
      <c r="Z17" s="8">
        <f t="shared" si="9"/>
        <v>-5005</v>
      </c>
      <c r="AA17" s="9">
        <v>-4740</v>
      </c>
      <c r="AB17" s="10">
        <f t="shared" si="10"/>
        <v>0.0014905977679253936</v>
      </c>
      <c r="AC17" s="11">
        <f t="shared" si="11"/>
        <v>1.1753554502369667</v>
      </c>
      <c r="AD17" s="7">
        <f t="shared" si="12"/>
        <v>377592409.87268883</v>
      </c>
      <c r="AE17" s="11">
        <f t="shared" si="13"/>
        <v>0.37759240987268883</v>
      </c>
    </row>
    <row r="18" spans="1:31" ht="11.25">
      <c r="A18" s="1" t="s">
        <v>188</v>
      </c>
      <c r="B18" s="7" t="s">
        <v>51</v>
      </c>
      <c r="C18" s="6">
        <v>-14.56384</v>
      </c>
      <c r="D18" s="6">
        <v>191.43904</v>
      </c>
      <c r="E18" s="6">
        <f t="shared" si="0"/>
        <v>11.439040000000006</v>
      </c>
      <c r="F18" s="6">
        <f t="shared" si="1"/>
        <v>-168.56096</v>
      </c>
      <c r="G18" s="7">
        <v>2230</v>
      </c>
      <c r="H18" s="7">
        <v>1840</v>
      </c>
      <c r="I18" s="7">
        <f t="shared" si="2"/>
        <v>3222645.7403700002</v>
      </c>
      <c r="J18" s="10">
        <f t="shared" si="3"/>
        <v>3.2226457403700004</v>
      </c>
      <c r="K18" s="7">
        <v>280</v>
      </c>
      <c r="L18" s="7">
        <v>100</v>
      </c>
      <c r="M18" s="7">
        <f t="shared" si="4"/>
        <v>21991.14855</v>
      </c>
      <c r="N18" s="10">
        <f t="shared" si="5"/>
        <v>0.021991148550000002</v>
      </c>
      <c r="O18" s="7">
        <v>270</v>
      </c>
      <c r="P18" s="7">
        <v>270</v>
      </c>
      <c r="Q18" s="7">
        <f t="shared" si="6"/>
        <v>270</v>
      </c>
      <c r="R18" s="11">
        <f>(32000/21158)</f>
        <v>1.5124302864164856</v>
      </c>
      <c r="S18" s="10">
        <f t="shared" si="7"/>
        <v>0.4137178182351438</v>
      </c>
      <c r="T18" s="4">
        <v>16.5</v>
      </c>
      <c r="U18" s="5">
        <v>11.9</v>
      </c>
      <c r="V18" s="5">
        <v>15.3</v>
      </c>
      <c r="W18" s="5">
        <v>18.8</v>
      </c>
      <c r="X18" s="3">
        <f t="shared" si="8"/>
        <v>15.625</v>
      </c>
      <c r="Y18" s="9">
        <v>165</v>
      </c>
      <c r="Z18" s="8">
        <f t="shared" si="9"/>
        <v>-4960</v>
      </c>
      <c r="AA18" s="9">
        <v>-4690</v>
      </c>
      <c r="AB18" s="10">
        <f t="shared" si="10"/>
        <v>0.006823942288945214</v>
      </c>
      <c r="AC18" s="11">
        <f t="shared" si="11"/>
        <v>1.2119565217391304</v>
      </c>
      <c r="AD18" s="7">
        <f t="shared" si="12"/>
        <v>315976544.0662805</v>
      </c>
      <c r="AE18" s="11">
        <f t="shared" si="13"/>
        <v>0.3159765440662805</v>
      </c>
    </row>
    <row r="19" spans="1:31" ht="11.25">
      <c r="A19" s="1" t="s">
        <v>189</v>
      </c>
      <c r="B19" s="7" t="s">
        <v>52</v>
      </c>
      <c r="C19" s="6">
        <v>-13.99554</v>
      </c>
      <c r="D19" s="6">
        <v>189.22116</v>
      </c>
      <c r="E19" s="6">
        <f t="shared" si="0"/>
        <v>9.221159999999998</v>
      </c>
      <c r="F19" s="6">
        <f t="shared" si="1"/>
        <v>-170.77884</v>
      </c>
      <c r="G19" s="7">
        <v>3690</v>
      </c>
      <c r="H19" s="7">
        <v>1760</v>
      </c>
      <c r="I19" s="7">
        <f t="shared" si="2"/>
        <v>5100689.826540001</v>
      </c>
      <c r="J19" s="10">
        <f t="shared" si="3"/>
        <v>5.100689826540001</v>
      </c>
      <c r="K19" s="7">
        <v>420</v>
      </c>
      <c r="L19" s="7">
        <v>260</v>
      </c>
      <c r="M19" s="7">
        <f t="shared" si="4"/>
        <v>85765.479345</v>
      </c>
      <c r="N19" s="10">
        <f t="shared" si="5"/>
        <v>0.085765479345</v>
      </c>
      <c r="O19" s="7">
        <v>280</v>
      </c>
      <c r="P19" s="7">
        <v>280</v>
      </c>
      <c r="Q19" s="7">
        <f t="shared" si="6"/>
        <v>280</v>
      </c>
      <c r="R19" s="11">
        <f>(30000/21158)</f>
        <v>1.4179033935154552</v>
      </c>
      <c r="S19" s="10">
        <f t="shared" si="7"/>
        <v>0.3491792970975726</v>
      </c>
      <c r="T19" s="4">
        <v>7.6</v>
      </c>
      <c r="U19" s="5">
        <v>9.8</v>
      </c>
      <c r="V19" s="5">
        <v>17.2</v>
      </c>
      <c r="W19" s="5">
        <v>14.4</v>
      </c>
      <c r="X19" s="3">
        <f t="shared" si="8"/>
        <v>12.249999999999998</v>
      </c>
      <c r="Y19" s="9">
        <v>5</v>
      </c>
      <c r="Z19" s="8">
        <f t="shared" si="9"/>
        <v>-3800</v>
      </c>
      <c r="AA19" s="9">
        <v>-3520</v>
      </c>
      <c r="AB19" s="10">
        <f t="shared" si="10"/>
        <v>0.016814486326681446</v>
      </c>
      <c r="AC19" s="11">
        <f t="shared" si="11"/>
        <v>2.096590909090909</v>
      </c>
      <c r="AD19" s="7">
        <f t="shared" si="12"/>
        <v>545800756.2284527</v>
      </c>
      <c r="AE19" s="11">
        <f t="shared" si="13"/>
        <v>0.5458007562284527</v>
      </c>
    </row>
    <row r="20" spans="1:31" ht="11.25">
      <c r="A20" s="1" t="s">
        <v>190</v>
      </c>
      <c r="B20" s="7" t="s">
        <v>53</v>
      </c>
      <c r="C20" s="6">
        <v>-14.01831</v>
      </c>
      <c r="D20" s="6">
        <v>191.08168</v>
      </c>
      <c r="E20" s="6">
        <f t="shared" si="0"/>
        <v>11.081680000000006</v>
      </c>
      <c r="F20" s="6">
        <f t="shared" si="1"/>
        <v>-168.91832</v>
      </c>
      <c r="G20" s="7">
        <v>3990</v>
      </c>
      <c r="H20" s="7">
        <v>1900</v>
      </c>
      <c r="I20" s="7">
        <f t="shared" si="2"/>
        <v>5954103.4699125</v>
      </c>
      <c r="J20" s="10">
        <f t="shared" si="3"/>
        <v>5.9541034699125</v>
      </c>
      <c r="K20" s="7">
        <v>660</v>
      </c>
      <c r="L20" s="7">
        <v>80</v>
      </c>
      <c r="M20" s="7">
        <f t="shared" si="4"/>
        <v>41469.02298</v>
      </c>
      <c r="N20" s="10">
        <f t="shared" si="5"/>
        <v>0.04146902298</v>
      </c>
      <c r="O20" s="7">
        <v>290</v>
      </c>
      <c r="P20" s="7">
        <v>270</v>
      </c>
      <c r="Q20" s="7">
        <f t="shared" si="6"/>
        <v>280</v>
      </c>
      <c r="R20" s="11">
        <f>(30000/21158)</f>
        <v>1.4179033935154552</v>
      </c>
      <c r="S20" s="10">
        <f t="shared" si="7"/>
        <v>0.3491792970975726</v>
      </c>
      <c r="T20" s="4">
        <v>8.2</v>
      </c>
      <c r="U20" s="5">
        <v>11.8</v>
      </c>
      <c r="V20" s="5">
        <v>15.8</v>
      </c>
      <c r="W20" s="5">
        <v>13.6</v>
      </c>
      <c r="X20" s="3">
        <f t="shared" si="8"/>
        <v>12.35</v>
      </c>
      <c r="Y20" s="9">
        <v>0</v>
      </c>
      <c r="Z20" s="8">
        <f t="shared" si="9"/>
        <v>-4940</v>
      </c>
      <c r="AA20" s="9">
        <v>-4660</v>
      </c>
      <c r="AB20" s="10">
        <f t="shared" si="10"/>
        <v>0.006964780371982588</v>
      </c>
      <c r="AC20" s="11">
        <f t="shared" si="11"/>
        <v>2.1</v>
      </c>
      <c r="AD20" s="7">
        <f t="shared" si="12"/>
        <v>605964216.1317327</v>
      </c>
      <c r="AE20" s="11">
        <f t="shared" si="13"/>
        <v>0.6059642161317327</v>
      </c>
    </row>
    <row r="21" spans="1:31" ht="11.25">
      <c r="A21" s="1" t="s">
        <v>191</v>
      </c>
      <c r="B21" s="7" t="s">
        <v>54</v>
      </c>
      <c r="C21" s="6">
        <v>-14.37106</v>
      </c>
      <c r="D21" s="6">
        <v>190.20828</v>
      </c>
      <c r="E21" s="6">
        <f t="shared" si="0"/>
        <v>10.208280000000002</v>
      </c>
      <c r="F21" s="6">
        <f t="shared" si="1"/>
        <v>-169.79172</v>
      </c>
      <c r="G21" s="7">
        <v>2720</v>
      </c>
      <c r="H21" s="7">
        <v>2400</v>
      </c>
      <c r="I21" s="7">
        <f t="shared" si="2"/>
        <v>5127079.2048</v>
      </c>
      <c r="J21" s="10">
        <f t="shared" si="3"/>
        <v>5.1270792048</v>
      </c>
      <c r="K21" s="7">
        <v>240</v>
      </c>
      <c r="L21" s="7">
        <v>120</v>
      </c>
      <c r="M21" s="7">
        <f t="shared" si="4"/>
        <v>22619.467080000002</v>
      </c>
      <c r="N21" s="10">
        <f t="shared" si="5"/>
        <v>0.022619467080000004</v>
      </c>
      <c r="O21" s="7">
        <v>310</v>
      </c>
      <c r="P21" s="7">
        <v>270</v>
      </c>
      <c r="Q21" s="7">
        <f t="shared" si="6"/>
        <v>290</v>
      </c>
      <c r="R21" s="11">
        <f>(28000/21158)</f>
        <v>1.323376500614425</v>
      </c>
      <c r="S21" s="10">
        <f t="shared" si="7"/>
        <v>0.2801864256106212</v>
      </c>
      <c r="T21" s="4">
        <v>14.4</v>
      </c>
      <c r="U21" s="5">
        <v>11.9</v>
      </c>
      <c r="V21" s="5">
        <v>14.1</v>
      </c>
      <c r="W21" s="5">
        <v>11.4</v>
      </c>
      <c r="X21" s="3">
        <f t="shared" si="8"/>
        <v>12.95</v>
      </c>
      <c r="Y21" s="9">
        <v>0</v>
      </c>
      <c r="Z21" s="8">
        <f t="shared" si="9"/>
        <v>-3290</v>
      </c>
      <c r="AA21" s="9">
        <v>-3000</v>
      </c>
      <c r="AB21" s="10">
        <f t="shared" si="10"/>
        <v>0.004411764705882353</v>
      </c>
      <c r="AC21" s="11">
        <f t="shared" si="11"/>
        <v>1.1333333333333333</v>
      </c>
      <c r="AD21" s="7">
        <f t="shared" si="12"/>
        <v>530723683.0059762</v>
      </c>
      <c r="AE21" s="11">
        <f t="shared" si="13"/>
        <v>0.5307236830059762</v>
      </c>
    </row>
    <row r="22" spans="1:31" ht="11.25">
      <c r="A22" s="1" t="s">
        <v>192</v>
      </c>
      <c r="B22" s="7" t="s">
        <v>55</v>
      </c>
      <c r="C22" s="6">
        <v>-14.55249</v>
      </c>
      <c r="D22" s="6">
        <v>191.5197</v>
      </c>
      <c r="E22" s="6">
        <f t="shared" si="0"/>
        <v>11.5197</v>
      </c>
      <c r="F22" s="6">
        <f t="shared" si="1"/>
        <v>-168.4803</v>
      </c>
      <c r="G22" s="7">
        <v>4820</v>
      </c>
      <c r="H22" s="7">
        <v>3080</v>
      </c>
      <c r="I22" s="7">
        <f t="shared" si="2"/>
        <v>11659706.961210001</v>
      </c>
      <c r="J22" s="10">
        <f t="shared" si="3"/>
        <v>11.65970696121</v>
      </c>
      <c r="K22" s="7">
        <v>200</v>
      </c>
      <c r="L22" s="7">
        <v>220</v>
      </c>
      <c r="M22" s="7">
        <f t="shared" si="4"/>
        <v>34557.51915</v>
      </c>
      <c r="N22" s="10">
        <f t="shared" si="5"/>
        <v>0.03455751915</v>
      </c>
      <c r="O22" s="7">
        <v>310</v>
      </c>
      <c r="P22" s="7">
        <v>270</v>
      </c>
      <c r="Q22" s="7">
        <f t="shared" si="6"/>
        <v>290</v>
      </c>
      <c r="R22" s="11">
        <f>(28000/21158)</f>
        <v>1.323376500614425</v>
      </c>
      <c r="S22" s="10">
        <f t="shared" si="7"/>
        <v>0.2801864256106212</v>
      </c>
      <c r="T22" s="4">
        <v>5.6</v>
      </c>
      <c r="U22" s="5">
        <v>9.6</v>
      </c>
      <c r="V22" s="5">
        <v>13.2</v>
      </c>
      <c r="W22" s="5">
        <v>8.1</v>
      </c>
      <c r="X22" s="3">
        <f t="shared" si="8"/>
        <v>9.125</v>
      </c>
      <c r="Y22" s="9">
        <v>80</v>
      </c>
      <c r="Z22" s="8">
        <f t="shared" si="9"/>
        <v>-4990</v>
      </c>
      <c r="AA22" s="9">
        <v>-4700</v>
      </c>
      <c r="AB22" s="10">
        <f t="shared" si="10"/>
        <v>0.002963841138114997</v>
      </c>
      <c r="AC22" s="11">
        <f t="shared" si="11"/>
        <v>1.5649350649350648</v>
      </c>
      <c r="AD22" s="7">
        <f t="shared" si="12"/>
        <v>1191806483.2111194</v>
      </c>
      <c r="AE22" s="11">
        <f t="shared" si="13"/>
        <v>1.1918064832111195</v>
      </c>
    </row>
    <row r="23" spans="1:31" ht="11.25">
      <c r="A23" s="1" t="s">
        <v>193</v>
      </c>
      <c r="B23" s="7" t="s">
        <v>56</v>
      </c>
      <c r="C23" s="6">
        <v>-14.77354</v>
      </c>
      <c r="D23" s="6">
        <v>189.51025</v>
      </c>
      <c r="E23" s="6">
        <f t="shared" si="0"/>
        <v>9.510250000000013</v>
      </c>
      <c r="F23" s="6">
        <f t="shared" si="1"/>
        <v>-170.48975</v>
      </c>
      <c r="G23" s="7">
        <v>2810</v>
      </c>
      <c r="H23" s="7">
        <v>1870</v>
      </c>
      <c r="I23" s="7">
        <f t="shared" si="2"/>
        <v>4127031.72448875</v>
      </c>
      <c r="J23" s="10">
        <f t="shared" si="3"/>
        <v>4.12703172448875</v>
      </c>
      <c r="K23" s="7">
        <v>920</v>
      </c>
      <c r="L23" s="7">
        <v>290</v>
      </c>
      <c r="M23" s="7">
        <f t="shared" si="4"/>
        <v>209544.229755</v>
      </c>
      <c r="N23" s="10">
        <f t="shared" si="5"/>
        <v>0.209544229755</v>
      </c>
      <c r="O23" s="7">
        <v>310</v>
      </c>
      <c r="P23" s="7">
        <v>280</v>
      </c>
      <c r="Q23" s="7">
        <f t="shared" si="6"/>
        <v>295</v>
      </c>
      <c r="R23" s="11">
        <f>(27000/21158)</f>
        <v>1.2761130541639096</v>
      </c>
      <c r="S23" s="10">
        <f t="shared" si="7"/>
        <v>0.24381878143974625</v>
      </c>
      <c r="T23" s="4">
        <v>15.7</v>
      </c>
      <c r="U23" s="5">
        <v>17</v>
      </c>
      <c r="V23" s="5">
        <v>16.7</v>
      </c>
      <c r="W23" s="5">
        <v>19.1</v>
      </c>
      <c r="X23" s="3">
        <f t="shared" si="8"/>
        <v>17.125</v>
      </c>
      <c r="Y23" s="9">
        <v>165</v>
      </c>
      <c r="Z23" s="8">
        <f t="shared" si="9"/>
        <v>-4085</v>
      </c>
      <c r="AA23" s="9">
        <v>-3790</v>
      </c>
      <c r="AB23" s="10">
        <f t="shared" si="10"/>
        <v>0.05077359316421489</v>
      </c>
      <c r="AC23" s="11">
        <f t="shared" si="11"/>
        <v>1.5026737967914439</v>
      </c>
      <c r="AD23" s="7">
        <f t="shared" si="12"/>
        <v>517874453.74747586</v>
      </c>
      <c r="AE23" s="11">
        <f t="shared" si="13"/>
        <v>0.5178744537474759</v>
      </c>
    </row>
    <row r="24" spans="1:31" ht="11.25">
      <c r="A24" s="1" t="s">
        <v>194</v>
      </c>
      <c r="B24" s="7" t="s">
        <v>58</v>
      </c>
      <c r="C24" s="6">
        <v>-13.9485</v>
      </c>
      <c r="D24" s="6">
        <v>191.14926</v>
      </c>
      <c r="E24" s="6">
        <f t="shared" si="0"/>
        <v>11.149259999999998</v>
      </c>
      <c r="F24" s="6">
        <f t="shared" si="1"/>
        <v>-168.85074</v>
      </c>
      <c r="G24" s="7">
        <v>2500</v>
      </c>
      <c r="H24" s="7">
        <v>2310</v>
      </c>
      <c r="I24" s="7">
        <f t="shared" si="2"/>
        <v>4535674.3884375</v>
      </c>
      <c r="J24" s="10">
        <f t="shared" si="3"/>
        <v>4.5356743884375</v>
      </c>
      <c r="K24" s="7">
        <v>150</v>
      </c>
      <c r="L24" s="7">
        <v>170</v>
      </c>
      <c r="M24" s="7">
        <f t="shared" si="4"/>
        <v>20027.65314375</v>
      </c>
      <c r="N24" s="10">
        <f t="shared" si="5"/>
        <v>0.02002765314375</v>
      </c>
      <c r="O24" s="7">
        <v>310</v>
      </c>
      <c r="P24" s="7">
        <v>290</v>
      </c>
      <c r="Q24" s="7">
        <f t="shared" si="6"/>
        <v>300</v>
      </c>
      <c r="R24" s="11">
        <f>(25000/21158)</f>
        <v>1.1815861612628793</v>
      </c>
      <c r="S24" s="10">
        <f t="shared" si="7"/>
        <v>0.16685774030361794</v>
      </c>
      <c r="T24" s="4">
        <v>14.2</v>
      </c>
      <c r="U24" s="5">
        <v>15.8</v>
      </c>
      <c r="V24" s="5">
        <v>12.9</v>
      </c>
      <c r="W24" s="5">
        <v>16.7</v>
      </c>
      <c r="X24" s="3">
        <f t="shared" si="8"/>
        <v>14.899999999999999</v>
      </c>
      <c r="Y24" s="9">
        <v>155</v>
      </c>
      <c r="Z24" s="8">
        <f t="shared" si="9"/>
        <v>-5100</v>
      </c>
      <c r="AA24" s="9">
        <v>-4800</v>
      </c>
      <c r="AB24" s="10">
        <f t="shared" si="10"/>
        <v>0.004415584415584416</v>
      </c>
      <c r="AC24" s="11">
        <f t="shared" si="11"/>
        <v>1.0822510822510822</v>
      </c>
      <c r="AD24" s="7">
        <f t="shared" si="12"/>
        <v>485709698.74987566</v>
      </c>
      <c r="AE24" s="11">
        <f t="shared" si="13"/>
        <v>0.4857096987498757</v>
      </c>
    </row>
    <row r="25" spans="1:31" ht="11.25">
      <c r="A25" s="1" t="s">
        <v>195</v>
      </c>
      <c r="B25" s="7" t="s">
        <v>57</v>
      </c>
      <c r="C25" s="6">
        <v>-14.59793</v>
      </c>
      <c r="D25" s="6">
        <v>189.36462</v>
      </c>
      <c r="E25" s="6">
        <f t="shared" si="0"/>
        <v>9.364620000000002</v>
      </c>
      <c r="F25" s="6">
        <f t="shared" si="1"/>
        <v>-170.63538</v>
      </c>
      <c r="G25" s="7">
        <v>3240</v>
      </c>
      <c r="H25" s="7">
        <v>2150</v>
      </c>
      <c r="I25" s="7">
        <f t="shared" si="2"/>
        <v>5471083.599975</v>
      </c>
      <c r="J25" s="10">
        <f t="shared" si="3"/>
        <v>5.4710835999750005</v>
      </c>
      <c r="K25" s="7">
        <v>220</v>
      </c>
      <c r="L25" s="7">
        <v>260</v>
      </c>
      <c r="M25" s="7">
        <f t="shared" si="4"/>
        <v>44924.774895</v>
      </c>
      <c r="N25" s="10">
        <f t="shared" si="5"/>
        <v>0.044924774895000005</v>
      </c>
      <c r="O25" s="7">
        <v>280</v>
      </c>
      <c r="P25" s="7">
        <v>320</v>
      </c>
      <c r="Q25" s="7">
        <f t="shared" si="6"/>
        <v>300</v>
      </c>
      <c r="R25" s="11">
        <f>(25000/21158)</f>
        <v>1.1815861612628793</v>
      </c>
      <c r="S25" s="10">
        <f t="shared" si="7"/>
        <v>0.16685774030361794</v>
      </c>
      <c r="T25" s="4">
        <v>10.9</v>
      </c>
      <c r="U25" s="5">
        <v>9.2</v>
      </c>
      <c r="V25" s="5">
        <v>18.4</v>
      </c>
      <c r="W25" s="5">
        <v>15.9</v>
      </c>
      <c r="X25" s="3">
        <f t="shared" si="8"/>
        <v>13.6</v>
      </c>
      <c r="Y25" s="9">
        <v>170</v>
      </c>
      <c r="Z25" s="8">
        <f t="shared" si="9"/>
        <v>-3650</v>
      </c>
      <c r="AA25" s="9">
        <v>-3350</v>
      </c>
      <c r="AB25" s="10">
        <f t="shared" si="10"/>
        <v>0.00821131208728108</v>
      </c>
      <c r="AC25" s="11">
        <f t="shared" si="11"/>
        <v>1.5069767441860464</v>
      </c>
      <c r="AD25" s="7">
        <f t="shared" si="12"/>
        <v>601177767.5210999</v>
      </c>
      <c r="AE25" s="11">
        <f t="shared" si="13"/>
        <v>0.6011777675211</v>
      </c>
    </row>
    <row r="26" spans="1:31" ht="11.25">
      <c r="A26" s="1" t="s">
        <v>196</v>
      </c>
      <c r="B26" s="7" t="s">
        <v>59</v>
      </c>
      <c r="C26" s="6">
        <v>-13.89409</v>
      </c>
      <c r="D26" s="6">
        <v>189.38286</v>
      </c>
      <c r="E26" s="6">
        <f t="shared" si="0"/>
        <v>9.382859999999994</v>
      </c>
      <c r="F26" s="6">
        <f t="shared" si="1"/>
        <v>-170.61714</v>
      </c>
      <c r="G26" s="7">
        <v>2580</v>
      </c>
      <c r="H26" s="7">
        <v>1990</v>
      </c>
      <c r="I26" s="7">
        <f t="shared" si="2"/>
        <v>4032391.2459075004</v>
      </c>
      <c r="J26" s="10">
        <f t="shared" si="3"/>
        <v>4.0323912459075</v>
      </c>
      <c r="K26" s="7">
        <v>260</v>
      </c>
      <c r="L26" s="7">
        <v>280</v>
      </c>
      <c r="M26" s="7">
        <f t="shared" si="4"/>
        <v>57176.98623</v>
      </c>
      <c r="N26" s="10">
        <f t="shared" si="5"/>
        <v>0.057176986230000004</v>
      </c>
      <c r="O26" s="7">
        <v>340</v>
      </c>
      <c r="P26" s="7">
        <v>270</v>
      </c>
      <c r="Q26" s="7">
        <f t="shared" si="6"/>
        <v>305</v>
      </c>
      <c r="R26" s="11">
        <f>(23000/21158)</f>
        <v>1.087059268361849</v>
      </c>
      <c r="S26" s="10">
        <f t="shared" si="7"/>
        <v>0.08347613136456689</v>
      </c>
      <c r="T26" s="4">
        <v>17.8</v>
      </c>
      <c r="U26" s="5">
        <v>9.5</v>
      </c>
      <c r="V26" s="5">
        <v>15.2</v>
      </c>
      <c r="W26" s="5">
        <v>13.8</v>
      </c>
      <c r="X26" s="3">
        <f t="shared" si="8"/>
        <v>14.075</v>
      </c>
      <c r="Y26" s="9">
        <v>135</v>
      </c>
      <c r="Z26" s="8">
        <f t="shared" si="9"/>
        <v>-4125</v>
      </c>
      <c r="AA26" s="9">
        <v>-3820</v>
      </c>
      <c r="AB26" s="10">
        <f t="shared" si="10"/>
        <v>0.014179424253048186</v>
      </c>
      <c r="AC26" s="11">
        <f t="shared" si="11"/>
        <v>1.2964824120603016</v>
      </c>
      <c r="AD26" s="7">
        <f t="shared" si="12"/>
        <v>464589709.52045214</v>
      </c>
      <c r="AE26" s="11">
        <f t="shared" si="13"/>
        <v>0.46458970952045214</v>
      </c>
    </row>
    <row r="27" spans="1:31" ht="11.25">
      <c r="A27" s="1" t="s">
        <v>197</v>
      </c>
      <c r="B27" s="7" t="s">
        <v>60</v>
      </c>
      <c r="C27" s="6">
        <v>-14.37178</v>
      </c>
      <c r="D27" s="6">
        <v>191.22818</v>
      </c>
      <c r="E27" s="6">
        <f t="shared" si="0"/>
        <v>11.228180000000009</v>
      </c>
      <c r="F27" s="6">
        <f t="shared" si="1"/>
        <v>-168.77182</v>
      </c>
      <c r="G27" s="7">
        <v>3100</v>
      </c>
      <c r="H27" s="7">
        <v>2970</v>
      </c>
      <c r="I27" s="7">
        <f t="shared" si="2"/>
        <v>7231160.882137501</v>
      </c>
      <c r="J27" s="10">
        <f t="shared" si="3"/>
        <v>7.231160882137501</v>
      </c>
      <c r="K27" s="7">
        <v>180</v>
      </c>
      <c r="L27" s="7">
        <v>110</v>
      </c>
      <c r="M27" s="7">
        <f t="shared" si="4"/>
        <v>15550.883617500001</v>
      </c>
      <c r="N27" s="10">
        <f t="shared" si="5"/>
        <v>0.015550883617500002</v>
      </c>
      <c r="O27" s="7">
        <v>290</v>
      </c>
      <c r="P27" s="7">
        <v>320</v>
      </c>
      <c r="Q27" s="7">
        <f t="shared" si="6"/>
        <v>305</v>
      </c>
      <c r="R27" s="11">
        <f>(23000/21158)</f>
        <v>1.087059268361849</v>
      </c>
      <c r="S27" s="10">
        <f t="shared" si="7"/>
        <v>0.08347613136456689</v>
      </c>
      <c r="T27" s="4">
        <v>12.1</v>
      </c>
      <c r="U27" s="5">
        <v>10.6</v>
      </c>
      <c r="V27" s="5">
        <v>11.9</v>
      </c>
      <c r="W27" s="5">
        <v>9</v>
      </c>
      <c r="X27" s="3">
        <f t="shared" si="8"/>
        <v>10.9</v>
      </c>
      <c r="Y27" s="9">
        <v>25</v>
      </c>
      <c r="Z27" s="8">
        <f t="shared" si="9"/>
        <v>-4965</v>
      </c>
      <c r="AA27" s="9">
        <v>-4660</v>
      </c>
      <c r="AB27" s="10">
        <f t="shared" si="10"/>
        <v>0.002150537634408602</v>
      </c>
      <c r="AC27" s="11">
        <f t="shared" si="11"/>
        <v>1.0437710437710437</v>
      </c>
      <c r="AD27" s="7">
        <f t="shared" si="12"/>
        <v>770841630.2376485</v>
      </c>
      <c r="AE27" s="11">
        <f t="shared" si="13"/>
        <v>0.7708416302376485</v>
      </c>
    </row>
    <row r="28" spans="1:31" ht="11.25">
      <c r="A28" s="1" t="s">
        <v>198</v>
      </c>
      <c r="B28" s="7" t="s">
        <v>64</v>
      </c>
      <c r="C28" s="6">
        <v>-14.18954</v>
      </c>
      <c r="D28" s="6">
        <v>191.21637</v>
      </c>
      <c r="E28" s="6">
        <f t="shared" si="0"/>
        <v>11.216370000000012</v>
      </c>
      <c r="F28" s="6">
        <f t="shared" si="1"/>
        <v>-168.78363</v>
      </c>
      <c r="G28" s="7">
        <v>2290</v>
      </c>
      <c r="H28" s="7">
        <v>2010</v>
      </c>
      <c r="I28" s="7">
        <f t="shared" si="2"/>
        <v>3615109.2021712502</v>
      </c>
      <c r="J28" s="10">
        <f t="shared" si="3"/>
        <v>3.6151092021712503</v>
      </c>
      <c r="K28" s="7">
        <v>180</v>
      </c>
      <c r="L28" s="7">
        <v>180</v>
      </c>
      <c r="M28" s="7">
        <f t="shared" si="4"/>
        <v>25446.900465000002</v>
      </c>
      <c r="N28" s="10">
        <f t="shared" si="5"/>
        <v>0.025446900465000002</v>
      </c>
      <c r="O28" s="7">
        <v>330</v>
      </c>
      <c r="P28" s="7">
        <v>290</v>
      </c>
      <c r="Q28" s="7">
        <f t="shared" si="6"/>
        <v>310</v>
      </c>
      <c r="R28" s="11">
        <f>(20000/21158)</f>
        <v>0.9452689290103035</v>
      </c>
      <c r="S28" s="10">
        <f t="shared" si="7"/>
        <v>-0.056285811010591796</v>
      </c>
      <c r="T28" s="4">
        <v>17</v>
      </c>
      <c r="U28" s="5">
        <v>16.8</v>
      </c>
      <c r="V28" s="5">
        <v>16</v>
      </c>
      <c r="W28" s="5">
        <v>16.3</v>
      </c>
      <c r="X28" s="3">
        <f t="shared" si="8"/>
        <v>16.525</v>
      </c>
      <c r="Y28" s="9">
        <v>5</v>
      </c>
      <c r="Z28" s="8">
        <f t="shared" si="9"/>
        <v>-5050</v>
      </c>
      <c r="AA28" s="9">
        <v>-4740</v>
      </c>
      <c r="AB28" s="10">
        <f t="shared" si="10"/>
        <v>0.007039040604836082</v>
      </c>
      <c r="AC28" s="11">
        <f t="shared" si="11"/>
        <v>1.1393034825870647</v>
      </c>
      <c r="AD28" s="7">
        <f t="shared" si="12"/>
        <v>407532211.9040828</v>
      </c>
      <c r="AE28" s="11">
        <f t="shared" si="13"/>
        <v>0.4075322119040828</v>
      </c>
    </row>
    <row r="29" spans="1:31" ht="11.25">
      <c r="A29" s="1" t="s">
        <v>199</v>
      </c>
      <c r="B29" s="7" t="s">
        <v>62</v>
      </c>
      <c r="C29" s="6">
        <v>-14.63187</v>
      </c>
      <c r="D29" s="6">
        <v>189.33846</v>
      </c>
      <c r="E29" s="6">
        <f t="shared" si="0"/>
        <v>9.338459999999998</v>
      </c>
      <c r="F29" s="6">
        <f t="shared" si="1"/>
        <v>-170.66154</v>
      </c>
      <c r="G29" s="7">
        <v>3160</v>
      </c>
      <c r="H29" s="7">
        <v>2280</v>
      </c>
      <c r="I29" s="7">
        <f t="shared" si="2"/>
        <v>5658636.68118</v>
      </c>
      <c r="J29" s="10">
        <f t="shared" si="3"/>
        <v>5.65863668118</v>
      </c>
      <c r="K29" s="7">
        <v>1070</v>
      </c>
      <c r="L29" s="7">
        <v>220</v>
      </c>
      <c r="M29" s="7">
        <f t="shared" si="4"/>
        <v>184882.72745250002</v>
      </c>
      <c r="N29" s="10">
        <f t="shared" si="5"/>
        <v>0.18488272745250003</v>
      </c>
      <c r="O29" s="7">
        <v>270</v>
      </c>
      <c r="P29" s="7">
        <v>350</v>
      </c>
      <c r="Q29" s="7">
        <f t="shared" si="6"/>
        <v>310</v>
      </c>
      <c r="R29" s="11">
        <f>(20000/21158)</f>
        <v>0.9452689290103035</v>
      </c>
      <c r="S29" s="10">
        <f t="shared" si="7"/>
        <v>-0.056285811010591796</v>
      </c>
      <c r="T29" s="4">
        <v>11.3</v>
      </c>
      <c r="U29" s="5">
        <v>16.2</v>
      </c>
      <c r="V29" s="5">
        <v>19.3</v>
      </c>
      <c r="W29" s="5">
        <v>17.9</v>
      </c>
      <c r="X29" s="3">
        <f t="shared" si="8"/>
        <v>16.174999999999997</v>
      </c>
      <c r="Y29" s="9">
        <v>20</v>
      </c>
      <c r="Z29" s="8">
        <f t="shared" si="9"/>
        <v>-3580</v>
      </c>
      <c r="AA29" s="9">
        <v>-3270</v>
      </c>
      <c r="AB29" s="10">
        <f t="shared" si="10"/>
        <v>0.03267266266933156</v>
      </c>
      <c r="AC29" s="11">
        <f t="shared" si="11"/>
        <v>1.3859649122807018</v>
      </c>
      <c r="AD29" s="7">
        <f t="shared" si="12"/>
        <v>709522922.4713969</v>
      </c>
      <c r="AE29" s="11">
        <f t="shared" si="13"/>
        <v>0.7095229224713969</v>
      </c>
    </row>
    <row r="30" spans="1:31" ht="11.25">
      <c r="A30" s="1" t="s">
        <v>200</v>
      </c>
      <c r="B30" s="7" t="s">
        <v>61</v>
      </c>
      <c r="C30" s="6">
        <v>-14.74146</v>
      </c>
      <c r="D30" s="6">
        <v>189.24048</v>
      </c>
      <c r="E30" s="6">
        <f t="shared" si="0"/>
        <v>9.240479999999991</v>
      </c>
      <c r="F30" s="6">
        <f t="shared" si="1"/>
        <v>-170.75952</v>
      </c>
      <c r="G30" s="7">
        <v>3150</v>
      </c>
      <c r="H30" s="7">
        <v>2220</v>
      </c>
      <c r="I30" s="7">
        <f t="shared" si="2"/>
        <v>5492289.3503625</v>
      </c>
      <c r="J30" s="10">
        <f t="shared" si="3"/>
        <v>5.4922893503625</v>
      </c>
      <c r="K30" s="7">
        <v>300</v>
      </c>
      <c r="L30" s="7">
        <v>300</v>
      </c>
      <c r="M30" s="7">
        <f t="shared" si="4"/>
        <v>70685.834625</v>
      </c>
      <c r="N30" s="10">
        <f t="shared" si="5"/>
        <v>0.070685834625</v>
      </c>
      <c r="O30" s="7">
        <v>300</v>
      </c>
      <c r="P30" s="7">
        <v>320</v>
      </c>
      <c r="Q30" s="7">
        <f t="shared" si="6"/>
        <v>310</v>
      </c>
      <c r="R30" s="11">
        <f>(20000/21158)</f>
        <v>0.9452689290103035</v>
      </c>
      <c r="S30" s="10">
        <f t="shared" si="7"/>
        <v>-0.056285811010591796</v>
      </c>
      <c r="T30" s="4">
        <v>8.7</v>
      </c>
      <c r="U30" s="5">
        <v>12.4</v>
      </c>
      <c r="V30" s="5">
        <v>15.1</v>
      </c>
      <c r="W30" s="5">
        <v>11.4</v>
      </c>
      <c r="X30" s="3">
        <f t="shared" si="8"/>
        <v>11.9</v>
      </c>
      <c r="Y30" s="9">
        <v>15</v>
      </c>
      <c r="Z30" s="8">
        <f t="shared" si="9"/>
        <v>-3810</v>
      </c>
      <c r="AA30" s="9">
        <v>-3500</v>
      </c>
      <c r="AB30" s="10">
        <f t="shared" si="10"/>
        <v>0.012870012870012871</v>
      </c>
      <c r="AC30" s="11">
        <f t="shared" si="11"/>
        <v>1.4189189189189189</v>
      </c>
      <c r="AD30" s="7">
        <f t="shared" si="12"/>
        <v>639225567.3142433</v>
      </c>
      <c r="AE30" s="11">
        <f t="shared" si="13"/>
        <v>0.6392255673142433</v>
      </c>
    </row>
    <row r="31" spans="1:31" ht="11.25">
      <c r="A31" s="1" t="s">
        <v>201</v>
      </c>
      <c r="B31" s="7" t="s">
        <v>63</v>
      </c>
      <c r="C31" s="6">
        <v>-14.16448</v>
      </c>
      <c r="D31" s="6">
        <v>191.19635</v>
      </c>
      <c r="E31" s="6">
        <f t="shared" si="0"/>
        <v>11.196349999999995</v>
      </c>
      <c r="F31" s="6">
        <f t="shared" si="1"/>
        <v>-168.80365</v>
      </c>
      <c r="G31" s="7">
        <v>2810</v>
      </c>
      <c r="H31" s="7">
        <v>2390</v>
      </c>
      <c r="I31" s="7">
        <f t="shared" si="2"/>
        <v>5274655.519533751</v>
      </c>
      <c r="J31" s="10">
        <f t="shared" si="3"/>
        <v>5.27465551953375</v>
      </c>
      <c r="K31" s="7">
        <v>220</v>
      </c>
      <c r="L31" s="7">
        <v>330</v>
      </c>
      <c r="M31" s="7">
        <f t="shared" si="4"/>
        <v>57019.906597500005</v>
      </c>
      <c r="N31" s="10">
        <f t="shared" si="5"/>
        <v>0.0570199065975</v>
      </c>
      <c r="O31" s="7">
        <v>340</v>
      </c>
      <c r="P31" s="7">
        <v>290</v>
      </c>
      <c r="Q31" s="7">
        <f t="shared" si="6"/>
        <v>315</v>
      </c>
      <c r="R31" s="11">
        <f>(18000/21158)</f>
        <v>0.8507420361092731</v>
      </c>
      <c r="S31" s="10">
        <f t="shared" si="7"/>
        <v>-0.16164632666841808</v>
      </c>
      <c r="T31" s="4">
        <v>12.1</v>
      </c>
      <c r="U31" s="5">
        <v>13.7</v>
      </c>
      <c r="V31" s="5">
        <v>13.7</v>
      </c>
      <c r="W31" s="5">
        <v>15.1</v>
      </c>
      <c r="X31" s="3">
        <f t="shared" si="8"/>
        <v>13.65</v>
      </c>
      <c r="Y31" s="9">
        <v>130</v>
      </c>
      <c r="Z31" s="8">
        <f t="shared" si="9"/>
        <v>-4935</v>
      </c>
      <c r="AA31" s="9">
        <v>-4620</v>
      </c>
      <c r="AB31" s="10">
        <f t="shared" si="10"/>
        <v>0.010810166917315624</v>
      </c>
      <c r="AC31" s="11">
        <f t="shared" si="11"/>
        <v>1.1757322175732217</v>
      </c>
      <c r="AD31" s="7">
        <f t="shared" si="12"/>
        <v>617409624.2508922</v>
      </c>
      <c r="AE31" s="11">
        <f t="shared" si="13"/>
        <v>0.6174096242508922</v>
      </c>
    </row>
    <row r="32" spans="1:31" ht="11.25">
      <c r="A32" s="1" t="s">
        <v>202</v>
      </c>
      <c r="B32" s="7" t="s">
        <v>65</v>
      </c>
      <c r="C32" s="6">
        <v>-14.51766</v>
      </c>
      <c r="D32" s="6">
        <v>191.5056</v>
      </c>
      <c r="E32" s="6">
        <f t="shared" si="0"/>
        <v>11.505599999999987</v>
      </c>
      <c r="F32" s="6">
        <f t="shared" si="1"/>
        <v>-168.4944</v>
      </c>
      <c r="G32" s="7">
        <v>2520</v>
      </c>
      <c r="H32" s="7">
        <v>2370</v>
      </c>
      <c r="I32" s="7">
        <f t="shared" si="2"/>
        <v>4690711.985715</v>
      </c>
      <c r="J32" s="10">
        <f t="shared" si="3"/>
        <v>4.690711985715</v>
      </c>
      <c r="K32" s="7">
        <v>290</v>
      </c>
      <c r="L32" s="7">
        <v>320</v>
      </c>
      <c r="M32" s="7">
        <f t="shared" si="4"/>
        <v>72884.94948000001</v>
      </c>
      <c r="N32" s="10">
        <f t="shared" si="5"/>
        <v>0.07288494948000002</v>
      </c>
      <c r="O32" s="7">
        <v>350</v>
      </c>
      <c r="P32" s="7">
        <v>280</v>
      </c>
      <c r="Q32" s="7">
        <f t="shared" si="6"/>
        <v>315</v>
      </c>
      <c r="R32" s="11">
        <f>(18000/21158)</f>
        <v>0.8507420361092731</v>
      </c>
      <c r="S32" s="10">
        <f t="shared" si="7"/>
        <v>-0.16164632666841808</v>
      </c>
      <c r="T32" s="4">
        <v>15.2</v>
      </c>
      <c r="U32" s="5">
        <v>13.9</v>
      </c>
      <c r="V32" s="5">
        <v>16.7</v>
      </c>
      <c r="W32" s="5">
        <v>12.5</v>
      </c>
      <c r="X32" s="3">
        <f t="shared" si="8"/>
        <v>14.575</v>
      </c>
      <c r="Y32" s="9">
        <v>0</v>
      </c>
      <c r="Z32" s="8">
        <f t="shared" si="9"/>
        <v>-4975</v>
      </c>
      <c r="AA32" s="9">
        <v>-4660</v>
      </c>
      <c r="AB32" s="10">
        <f t="shared" si="10"/>
        <v>0.015538142120420604</v>
      </c>
      <c r="AC32" s="11">
        <f t="shared" si="11"/>
        <v>1.0632911392405062</v>
      </c>
      <c r="AD32" s="7">
        <f t="shared" si="12"/>
        <v>561571915.9120339</v>
      </c>
      <c r="AE32" s="11">
        <f t="shared" si="13"/>
        <v>0.5615719159120339</v>
      </c>
    </row>
    <row r="33" spans="1:31" ht="11.25">
      <c r="A33" s="1" t="s">
        <v>203</v>
      </c>
      <c r="B33" s="7" t="s">
        <v>66</v>
      </c>
      <c r="C33" s="6">
        <v>-14.41868</v>
      </c>
      <c r="D33" s="6">
        <v>190.19933</v>
      </c>
      <c r="E33" s="6">
        <f t="shared" si="0"/>
        <v>10.199330000000003</v>
      </c>
      <c r="F33" s="6">
        <f t="shared" si="1"/>
        <v>-169.80067</v>
      </c>
      <c r="G33" s="7">
        <v>2410</v>
      </c>
      <c r="H33" s="7">
        <v>2350</v>
      </c>
      <c r="I33" s="7">
        <f t="shared" si="2"/>
        <v>4448102.4933187505</v>
      </c>
      <c r="J33" s="10">
        <f t="shared" si="3"/>
        <v>4.448102493318751</v>
      </c>
      <c r="K33" s="7">
        <v>240</v>
      </c>
      <c r="L33" s="7">
        <v>60</v>
      </c>
      <c r="M33" s="7">
        <f t="shared" si="4"/>
        <v>11309.733540000001</v>
      </c>
      <c r="N33" s="10">
        <f t="shared" si="5"/>
        <v>0.011309733540000002</v>
      </c>
      <c r="O33" s="7">
        <v>330</v>
      </c>
      <c r="P33" s="7">
        <v>320</v>
      </c>
      <c r="Q33" s="7">
        <f t="shared" si="6"/>
        <v>325</v>
      </c>
      <c r="R33" s="11">
        <f>(16000/21158)</f>
        <v>0.7562151432082428</v>
      </c>
      <c r="S33" s="10">
        <f t="shared" si="7"/>
        <v>-0.27942936232480153</v>
      </c>
      <c r="T33" s="4">
        <v>19.1</v>
      </c>
      <c r="U33" s="5">
        <v>15.9</v>
      </c>
      <c r="V33" s="5">
        <v>16.9</v>
      </c>
      <c r="W33" s="5">
        <v>16.2</v>
      </c>
      <c r="X33" s="3">
        <f t="shared" si="8"/>
        <v>17.025</v>
      </c>
      <c r="Y33" s="9">
        <v>5</v>
      </c>
      <c r="Z33" s="8">
        <f t="shared" si="9"/>
        <v>-3395</v>
      </c>
      <c r="AA33" s="9">
        <v>-3070</v>
      </c>
      <c r="AB33" s="10">
        <f t="shared" si="10"/>
        <v>0.0025425973338041846</v>
      </c>
      <c r="AC33" s="11">
        <f t="shared" si="11"/>
        <v>1.025531914893617</v>
      </c>
      <c r="AD33" s="7">
        <f t="shared" si="12"/>
        <v>507401279.8186091</v>
      </c>
      <c r="AE33" s="11">
        <f t="shared" si="13"/>
        <v>0.5074012798186092</v>
      </c>
    </row>
    <row r="34" spans="1:31" ht="11.25">
      <c r="A34" s="1" t="s">
        <v>204</v>
      </c>
      <c r="B34" s="7" t="s">
        <v>67</v>
      </c>
      <c r="C34" s="6">
        <v>-14.45928</v>
      </c>
      <c r="D34" s="6">
        <v>191.52354</v>
      </c>
      <c r="E34" s="6">
        <f aca="true" t="shared" si="14" ref="E34:E52">(D34-180)</f>
        <v>11.523539999999997</v>
      </c>
      <c r="F34" s="6">
        <f aca="true" t="shared" si="15" ref="F34:F52">((180-E34)*-1)</f>
        <v>-168.47646</v>
      </c>
      <c r="G34" s="7">
        <v>3720</v>
      </c>
      <c r="H34" s="7">
        <v>2260</v>
      </c>
      <c r="I34" s="7">
        <f aca="true" t="shared" si="16" ref="I34:I52">(3.14159265*((G34/2)*(H34/2)))</f>
        <v>6602999.431770001</v>
      </c>
      <c r="J34" s="10">
        <f aca="true" t="shared" si="17" ref="J34:J54">I34/1000000</f>
        <v>6.602999431770001</v>
      </c>
      <c r="K34" s="7">
        <v>180</v>
      </c>
      <c r="L34" s="7">
        <v>360</v>
      </c>
      <c r="M34" s="7">
        <f aca="true" t="shared" si="18" ref="M34:M52">(3.14159265*((K34/2)*(L34/2)))</f>
        <v>50893.800930000005</v>
      </c>
      <c r="N34" s="10">
        <f aca="true" t="shared" si="19" ref="N34:N52">M34/1000000</f>
        <v>0.050893800930000004</v>
      </c>
      <c r="O34" s="7">
        <v>320</v>
      </c>
      <c r="P34" s="7">
        <v>330</v>
      </c>
      <c r="Q34" s="7">
        <f aca="true" t="shared" si="20" ref="Q34:Q52">AVERAGE(O34:P34)</f>
        <v>325</v>
      </c>
      <c r="R34" s="11">
        <f>(16000/21158)</f>
        <v>0.7562151432082428</v>
      </c>
      <c r="S34" s="10">
        <f t="shared" si="7"/>
        <v>-0.27942936232480153</v>
      </c>
      <c r="T34" s="4">
        <v>11.1</v>
      </c>
      <c r="U34" s="5">
        <v>8.9</v>
      </c>
      <c r="V34" s="5">
        <v>15.7</v>
      </c>
      <c r="W34" s="5">
        <v>17.8</v>
      </c>
      <c r="X34" s="3">
        <f aca="true" t="shared" si="21" ref="X34:X52">AVERAGE(T34:W34)</f>
        <v>13.375</v>
      </c>
      <c r="Y34" s="9">
        <v>85</v>
      </c>
      <c r="Z34" s="8">
        <f aca="true" t="shared" si="22" ref="Z34:Z52">(AA34-Q34)</f>
        <v>-4935</v>
      </c>
      <c r="AA34" s="9">
        <v>-4610</v>
      </c>
      <c r="AB34" s="10">
        <f aca="true" t="shared" si="23" ref="AB34:AB52">(M34/I34)</f>
        <v>0.0077076791321724234</v>
      </c>
      <c r="AC34" s="11">
        <f aca="true" t="shared" si="24" ref="AC34:AC52">(G34/H34)</f>
        <v>1.6460176991150441</v>
      </c>
      <c r="AD34" s="7">
        <f aca="true" t="shared" si="25" ref="AD34:AD52">(1/3)*Q34*(M34+I34+(SQRT(M34*I34)))</f>
        <v>783639234.0433128</v>
      </c>
      <c r="AE34" s="11">
        <f aca="true" t="shared" si="26" ref="AE34:AE52">AD34/1000000000</f>
        <v>0.7836392340433128</v>
      </c>
    </row>
    <row r="35" spans="1:31" ht="11.25">
      <c r="A35" s="1" t="s">
        <v>205</v>
      </c>
      <c r="B35" s="7" t="s">
        <v>69</v>
      </c>
      <c r="C35" s="6">
        <v>-13.62784</v>
      </c>
      <c r="D35" s="6">
        <v>189.71605</v>
      </c>
      <c r="E35" s="6">
        <f t="shared" si="14"/>
        <v>9.716049999999996</v>
      </c>
      <c r="F35" s="6">
        <f t="shared" si="15"/>
        <v>-170.28395</v>
      </c>
      <c r="G35" s="7">
        <v>3200</v>
      </c>
      <c r="H35" s="7">
        <v>2270</v>
      </c>
      <c r="I35" s="7">
        <f t="shared" si="16"/>
        <v>5705132.252400001</v>
      </c>
      <c r="J35" s="10">
        <f t="shared" si="17"/>
        <v>5.7051322524</v>
      </c>
      <c r="K35" s="7">
        <v>330</v>
      </c>
      <c r="L35" s="7">
        <v>140</v>
      </c>
      <c r="M35" s="7">
        <f t="shared" si="18"/>
        <v>36285.3951075</v>
      </c>
      <c r="N35" s="10">
        <f t="shared" si="19"/>
        <v>0.0362853951075</v>
      </c>
      <c r="O35" s="7">
        <v>410</v>
      </c>
      <c r="P35" s="7">
        <v>280</v>
      </c>
      <c r="Q35" s="7">
        <f t="shared" si="20"/>
        <v>345</v>
      </c>
      <c r="R35" s="11">
        <f>(14000/21158)</f>
        <v>0.6616882503072125</v>
      </c>
      <c r="S35" s="10">
        <f t="shared" si="7"/>
        <v>-0.4129607549493241</v>
      </c>
      <c r="T35" s="4">
        <v>14.5</v>
      </c>
      <c r="U35" s="5">
        <v>12.1</v>
      </c>
      <c r="V35" s="5">
        <v>13.2</v>
      </c>
      <c r="W35" s="5">
        <v>15.6</v>
      </c>
      <c r="X35" s="3">
        <f t="shared" si="21"/>
        <v>13.85</v>
      </c>
      <c r="Y35" s="9">
        <v>160</v>
      </c>
      <c r="Z35" s="8">
        <f t="shared" si="22"/>
        <v>-4595</v>
      </c>
      <c r="AA35" s="9">
        <v>-4250</v>
      </c>
      <c r="AB35" s="10">
        <f t="shared" si="23"/>
        <v>0.006360132158590308</v>
      </c>
      <c r="AC35" s="11">
        <f t="shared" si="24"/>
        <v>1.4096916299559472</v>
      </c>
      <c r="AD35" s="7">
        <f t="shared" si="25"/>
        <v>712586510.1673173</v>
      </c>
      <c r="AE35" s="11">
        <f t="shared" si="26"/>
        <v>0.7125865101673172</v>
      </c>
    </row>
    <row r="36" spans="1:31" ht="11.25">
      <c r="A36" s="1" t="s">
        <v>206</v>
      </c>
      <c r="B36" s="7" t="s">
        <v>68</v>
      </c>
      <c r="C36" s="6">
        <v>-13.8426</v>
      </c>
      <c r="D36" s="6">
        <v>189.513</v>
      </c>
      <c r="E36" s="6">
        <f t="shared" si="14"/>
        <v>9.513000000000005</v>
      </c>
      <c r="F36" s="6">
        <f t="shared" si="15"/>
        <v>-170.487</v>
      </c>
      <c r="G36" s="7">
        <v>2860</v>
      </c>
      <c r="H36" s="7">
        <v>2560</v>
      </c>
      <c r="I36" s="7">
        <f t="shared" si="16"/>
        <v>5750371.18656</v>
      </c>
      <c r="J36" s="10">
        <f t="shared" si="17"/>
        <v>5.750371186560001</v>
      </c>
      <c r="K36" s="7">
        <v>320</v>
      </c>
      <c r="L36" s="7">
        <v>240</v>
      </c>
      <c r="M36" s="7">
        <f t="shared" si="18"/>
        <v>60318.57888</v>
      </c>
      <c r="N36" s="10">
        <f t="shared" si="19"/>
        <v>0.06031857888</v>
      </c>
      <c r="O36" s="7">
        <v>400</v>
      </c>
      <c r="P36" s="7">
        <v>290</v>
      </c>
      <c r="Q36" s="7">
        <f t="shared" si="20"/>
        <v>345</v>
      </c>
      <c r="R36" s="11">
        <f>(14000/21158)</f>
        <v>0.6616882503072125</v>
      </c>
      <c r="S36" s="10">
        <f t="shared" si="7"/>
        <v>-0.4129607549493241</v>
      </c>
      <c r="T36" s="4">
        <v>15.9</v>
      </c>
      <c r="U36" s="5">
        <v>15.4</v>
      </c>
      <c r="V36" s="5">
        <v>11</v>
      </c>
      <c r="W36" s="5">
        <v>16</v>
      </c>
      <c r="X36" s="3">
        <f t="shared" si="21"/>
        <v>14.575</v>
      </c>
      <c r="Y36" s="9">
        <v>110</v>
      </c>
      <c r="Z36" s="8">
        <f t="shared" si="22"/>
        <v>-4195</v>
      </c>
      <c r="AA36" s="9">
        <v>-3850</v>
      </c>
      <c r="AB36" s="10">
        <f t="shared" si="23"/>
        <v>0.01048951048951049</v>
      </c>
      <c r="AC36" s="11">
        <f t="shared" si="24"/>
        <v>1.1171875</v>
      </c>
      <c r="AD36" s="7">
        <f t="shared" si="25"/>
        <v>735957803.2471927</v>
      </c>
      <c r="AE36" s="11">
        <f t="shared" si="26"/>
        <v>0.7359578032471927</v>
      </c>
    </row>
    <row r="37" spans="1:31" ht="11.25">
      <c r="A37" s="1" t="s">
        <v>207</v>
      </c>
      <c r="B37" s="7" t="s">
        <v>70</v>
      </c>
      <c r="C37" s="6">
        <v>-13.68659</v>
      </c>
      <c r="D37" s="6">
        <v>189.52085</v>
      </c>
      <c r="E37" s="6">
        <f t="shared" si="14"/>
        <v>9.520849999999996</v>
      </c>
      <c r="F37" s="6">
        <f t="shared" si="15"/>
        <v>-170.47915</v>
      </c>
      <c r="G37" s="7">
        <v>2170</v>
      </c>
      <c r="H37" s="7">
        <v>2160</v>
      </c>
      <c r="I37" s="7">
        <f t="shared" si="16"/>
        <v>3681318.26727</v>
      </c>
      <c r="J37" s="10">
        <f t="shared" si="17"/>
        <v>3.68131826727</v>
      </c>
      <c r="K37" s="7">
        <v>370</v>
      </c>
      <c r="L37" s="7">
        <v>250</v>
      </c>
      <c r="M37" s="7">
        <f t="shared" si="18"/>
        <v>72649.33003125</v>
      </c>
      <c r="N37" s="10">
        <f t="shared" si="19"/>
        <v>0.07264933003125</v>
      </c>
      <c r="O37" s="7">
        <v>330</v>
      </c>
      <c r="P37" s="7">
        <v>370</v>
      </c>
      <c r="Q37" s="7">
        <f t="shared" si="20"/>
        <v>350</v>
      </c>
      <c r="R37" s="11">
        <f>(12000/21158)</f>
        <v>0.567161357406182</v>
      </c>
      <c r="S37" s="10">
        <f t="shared" si="7"/>
        <v>-0.5671114347765825</v>
      </c>
      <c r="T37" s="4">
        <v>16.3</v>
      </c>
      <c r="U37" s="5">
        <v>19.8</v>
      </c>
      <c r="V37" s="5">
        <v>18.3</v>
      </c>
      <c r="W37" s="5">
        <v>17.8</v>
      </c>
      <c r="X37" s="3">
        <f t="shared" si="21"/>
        <v>18.05</v>
      </c>
      <c r="Y37" s="9">
        <v>85</v>
      </c>
      <c r="Z37" s="8">
        <f t="shared" si="22"/>
        <v>-4530</v>
      </c>
      <c r="AA37" s="9">
        <v>-4180</v>
      </c>
      <c r="AB37" s="10">
        <f t="shared" si="23"/>
        <v>0.019734596347499574</v>
      </c>
      <c r="AC37" s="11">
        <f t="shared" si="24"/>
        <v>1.0046296296296295</v>
      </c>
      <c r="AD37" s="7">
        <f t="shared" si="25"/>
        <v>498297186.48609996</v>
      </c>
      <c r="AE37" s="11">
        <f t="shared" si="26"/>
        <v>0.49829718648609994</v>
      </c>
    </row>
    <row r="38" spans="1:31" ht="11.25">
      <c r="A38" s="1" t="s">
        <v>208</v>
      </c>
      <c r="B38" s="7" t="s">
        <v>71</v>
      </c>
      <c r="C38" s="6">
        <v>-14.55968</v>
      </c>
      <c r="D38" s="6">
        <v>190.37901</v>
      </c>
      <c r="E38" s="6">
        <f t="shared" si="14"/>
        <v>10.379009999999994</v>
      </c>
      <c r="F38" s="6">
        <f t="shared" si="15"/>
        <v>-169.62099</v>
      </c>
      <c r="G38" s="7">
        <v>2690</v>
      </c>
      <c r="H38" s="7">
        <v>2610</v>
      </c>
      <c r="I38" s="7">
        <f t="shared" si="16"/>
        <v>5514201.95909625</v>
      </c>
      <c r="J38" s="10">
        <f t="shared" si="17"/>
        <v>5.51420195909625</v>
      </c>
      <c r="K38" s="7">
        <v>200</v>
      </c>
      <c r="L38" s="7">
        <v>280</v>
      </c>
      <c r="M38" s="7">
        <f t="shared" si="18"/>
        <v>43982.2971</v>
      </c>
      <c r="N38" s="10">
        <f t="shared" si="19"/>
        <v>0.043982297100000005</v>
      </c>
      <c r="O38" s="7">
        <v>360</v>
      </c>
      <c r="P38" s="7">
        <v>340</v>
      </c>
      <c r="Q38" s="7">
        <f t="shared" si="20"/>
        <v>350</v>
      </c>
      <c r="R38" s="11">
        <f>(12000/21158)</f>
        <v>0.567161357406182</v>
      </c>
      <c r="S38" s="10">
        <f t="shared" si="7"/>
        <v>-0.5671114347765825</v>
      </c>
      <c r="T38" s="4">
        <v>18.3</v>
      </c>
      <c r="U38" s="5">
        <v>14.1</v>
      </c>
      <c r="V38" s="5">
        <v>18.5</v>
      </c>
      <c r="W38" s="5">
        <v>12.2</v>
      </c>
      <c r="X38" s="3">
        <f t="shared" si="21"/>
        <v>15.774999999999999</v>
      </c>
      <c r="Y38" s="9">
        <v>40</v>
      </c>
      <c r="Z38" s="8">
        <f t="shared" si="22"/>
        <v>-3940</v>
      </c>
      <c r="AA38" s="9">
        <v>-3590</v>
      </c>
      <c r="AB38" s="10">
        <f t="shared" si="23"/>
        <v>0.00797618538933755</v>
      </c>
      <c r="AC38" s="11">
        <f t="shared" si="24"/>
        <v>1.0306513409961686</v>
      </c>
      <c r="AD38" s="7">
        <f t="shared" si="25"/>
        <v>705909730.494985</v>
      </c>
      <c r="AE38" s="11">
        <f t="shared" si="26"/>
        <v>0.705909730494985</v>
      </c>
    </row>
    <row r="39" spans="1:31" ht="11.25">
      <c r="A39" s="1" t="s">
        <v>209</v>
      </c>
      <c r="B39" s="7" t="s">
        <v>72</v>
      </c>
      <c r="C39" s="6">
        <v>-13.99497</v>
      </c>
      <c r="D39" s="6">
        <v>189.61896</v>
      </c>
      <c r="E39" s="6">
        <f t="shared" si="14"/>
        <v>9.618959999999987</v>
      </c>
      <c r="F39" s="6">
        <f t="shared" si="15"/>
        <v>-170.38104</v>
      </c>
      <c r="G39" s="7">
        <v>3450</v>
      </c>
      <c r="H39" s="7">
        <v>3120</v>
      </c>
      <c r="I39" s="7">
        <f t="shared" si="16"/>
        <v>8454025.821150001</v>
      </c>
      <c r="J39" s="10">
        <f t="shared" si="17"/>
        <v>8.454025821150001</v>
      </c>
      <c r="K39" s="7">
        <v>140</v>
      </c>
      <c r="L39" s="7">
        <v>190</v>
      </c>
      <c r="M39" s="7">
        <f t="shared" si="18"/>
        <v>20891.5911225</v>
      </c>
      <c r="N39" s="10">
        <f t="shared" si="19"/>
        <v>0.0208915911225</v>
      </c>
      <c r="O39" s="7">
        <v>410</v>
      </c>
      <c r="P39" s="7">
        <v>340</v>
      </c>
      <c r="Q39" s="7">
        <f t="shared" si="20"/>
        <v>375</v>
      </c>
      <c r="R39" s="11">
        <f>(11000/21158)</f>
        <v>0.5198979109556668</v>
      </c>
      <c r="S39" s="10">
        <f t="shared" si="7"/>
        <v>-0.6541228117662123</v>
      </c>
      <c r="T39" s="4">
        <v>12</v>
      </c>
      <c r="U39" s="5">
        <v>14</v>
      </c>
      <c r="V39" s="5">
        <v>13.8</v>
      </c>
      <c r="W39" s="5">
        <v>11.8</v>
      </c>
      <c r="X39" s="3">
        <f t="shared" si="21"/>
        <v>12.899999999999999</v>
      </c>
      <c r="Y39" s="9">
        <v>35</v>
      </c>
      <c r="Z39" s="8">
        <f t="shared" si="22"/>
        <v>-3755</v>
      </c>
      <c r="AA39" s="9">
        <v>-3380</v>
      </c>
      <c r="AB39" s="10">
        <f t="shared" si="23"/>
        <v>0.0024712002972872536</v>
      </c>
      <c r="AC39" s="11">
        <f t="shared" si="24"/>
        <v>1.1057692307692308</v>
      </c>
      <c r="AD39" s="7">
        <f t="shared" si="25"/>
        <v>1111897114.547774</v>
      </c>
      <c r="AE39" s="11">
        <f t="shared" si="26"/>
        <v>1.111897114547774</v>
      </c>
    </row>
    <row r="40" spans="1:31" ht="11.25">
      <c r="A40" s="1" t="s">
        <v>210</v>
      </c>
      <c r="B40" s="7" t="s">
        <v>73</v>
      </c>
      <c r="C40" s="6">
        <v>-14.43339</v>
      </c>
      <c r="D40" s="6">
        <v>190.12888</v>
      </c>
      <c r="E40" s="6">
        <f t="shared" si="14"/>
        <v>10.12888000000001</v>
      </c>
      <c r="F40" s="6">
        <f t="shared" si="15"/>
        <v>-169.87112</v>
      </c>
      <c r="G40" s="7">
        <v>3170</v>
      </c>
      <c r="H40" s="7">
        <v>2400</v>
      </c>
      <c r="I40" s="7">
        <f t="shared" si="16"/>
        <v>5975309.2203</v>
      </c>
      <c r="J40" s="10">
        <f t="shared" si="17"/>
        <v>5.9753092203</v>
      </c>
      <c r="K40" s="7">
        <v>990</v>
      </c>
      <c r="L40" s="7">
        <v>150</v>
      </c>
      <c r="M40" s="7">
        <f t="shared" si="18"/>
        <v>116631.62713125</v>
      </c>
      <c r="N40" s="10">
        <f t="shared" si="19"/>
        <v>0.11663162713125</v>
      </c>
      <c r="O40" s="7">
        <v>390</v>
      </c>
      <c r="P40" s="7">
        <v>370</v>
      </c>
      <c r="Q40" s="7">
        <f t="shared" si="20"/>
        <v>380</v>
      </c>
      <c r="R40" s="11">
        <f>(10000/21158)</f>
        <v>0.47263446450515173</v>
      </c>
      <c r="S40" s="10">
        <f t="shared" si="7"/>
        <v>-0.7494329915705371</v>
      </c>
      <c r="T40" s="4">
        <v>19.9</v>
      </c>
      <c r="U40" s="5">
        <v>18.3</v>
      </c>
      <c r="V40" s="5">
        <v>16.1</v>
      </c>
      <c r="W40" s="5">
        <v>19</v>
      </c>
      <c r="X40" s="3">
        <f t="shared" si="21"/>
        <v>18.325000000000003</v>
      </c>
      <c r="Y40" s="9">
        <v>155</v>
      </c>
      <c r="Z40" s="8">
        <f t="shared" si="22"/>
        <v>-3390</v>
      </c>
      <c r="AA40" s="9">
        <v>-3010</v>
      </c>
      <c r="AB40" s="10">
        <f t="shared" si="23"/>
        <v>0.019518927444794953</v>
      </c>
      <c r="AC40" s="11">
        <f t="shared" si="24"/>
        <v>1.3208333333333333</v>
      </c>
      <c r="AD40" s="7">
        <f t="shared" si="25"/>
        <v>877388615.2317376</v>
      </c>
      <c r="AE40" s="11">
        <f t="shared" si="26"/>
        <v>0.8773886152317376</v>
      </c>
    </row>
    <row r="41" spans="1:31" ht="11.25">
      <c r="A41" s="1" t="s">
        <v>211</v>
      </c>
      <c r="B41" s="7" t="s">
        <v>74</v>
      </c>
      <c r="C41" s="6">
        <v>-14.50618</v>
      </c>
      <c r="D41" s="6">
        <v>191.47757</v>
      </c>
      <c r="E41" s="6">
        <f t="shared" si="14"/>
        <v>11.477569999999986</v>
      </c>
      <c r="F41" s="6">
        <f t="shared" si="15"/>
        <v>-168.52243</v>
      </c>
      <c r="G41" s="7">
        <v>3530</v>
      </c>
      <c r="H41" s="7">
        <v>2890</v>
      </c>
      <c r="I41" s="7">
        <f t="shared" si="16"/>
        <v>8012396.434376251</v>
      </c>
      <c r="J41" s="10">
        <f t="shared" si="17"/>
        <v>8.012396434376251</v>
      </c>
      <c r="K41" s="7">
        <v>690</v>
      </c>
      <c r="L41" s="7">
        <v>210</v>
      </c>
      <c r="M41" s="7">
        <f t="shared" si="18"/>
        <v>113804.19374625</v>
      </c>
      <c r="N41" s="10">
        <f t="shared" si="19"/>
        <v>0.11380419374625</v>
      </c>
      <c r="O41" s="7">
        <v>410</v>
      </c>
      <c r="P41" s="7">
        <v>370</v>
      </c>
      <c r="Q41" s="7">
        <f t="shared" si="20"/>
        <v>390</v>
      </c>
      <c r="R41" s="11">
        <f>(9000/21158)</f>
        <v>0.42537101805463656</v>
      </c>
      <c r="S41" s="10">
        <f t="shared" si="7"/>
        <v>-0.8547935072283634</v>
      </c>
      <c r="T41" s="4">
        <v>16.1</v>
      </c>
      <c r="U41" s="5">
        <v>12.5</v>
      </c>
      <c r="V41" s="5">
        <v>11.9</v>
      </c>
      <c r="W41" s="5">
        <v>15.6</v>
      </c>
      <c r="X41" s="3">
        <f t="shared" si="21"/>
        <v>14.025</v>
      </c>
      <c r="Y41" s="9">
        <v>15</v>
      </c>
      <c r="Z41" s="8">
        <f t="shared" si="22"/>
        <v>-4980</v>
      </c>
      <c r="AA41" s="9">
        <v>-4590</v>
      </c>
      <c r="AB41" s="10">
        <f t="shared" si="23"/>
        <v>0.014203515100424438</v>
      </c>
      <c r="AC41" s="11">
        <f t="shared" si="24"/>
        <v>1.221453287197232</v>
      </c>
      <c r="AD41" s="7">
        <f t="shared" si="25"/>
        <v>1180543783.1957994</v>
      </c>
      <c r="AE41" s="11">
        <f t="shared" si="26"/>
        <v>1.1805437831957994</v>
      </c>
    </row>
    <row r="42" spans="1:31" s="65" customFormat="1" ht="11.25">
      <c r="A42" s="1" t="s">
        <v>212</v>
      </c>
      <c r="B42" s="58" t="s">
        <v>161</v>
      </c>
      <c r="C42" s="59">
        <v>-14.05291</v>
      </c>
      <c r="D42" s="59">
        <v>189.19639</v>
      </c>
      <c r="E42" s="59">
        <f t="shared" si="14"/>
        <v>9.196390000000008</v>
      </c>
      <c r="F42" s="59">
        <f t="shared" si="15"/>
        <v>-170.80361</v>
      </c>
      <c r="G42" s="58">
        <v>3000</v>
      </c>
      <c r="H42" s="58">
        <v>1900</v>
      </c>
      <c r="I42" s="58">
        <f t="shared" si="16"/>
        <v>4476769.52625</v>
      </c>
      <c r="J42" s="60">
        <f t="shared" si="17"/>
        <v>4.47676952625</v>
      </c>
      <c r="K42" s="58">
        <v>310</v>
      </c>
      <c r="L42" s="58">
        <v>210</v>
      </c>
      <c r="M42" s="58">
        <f t="shared" si="18"/>
        <v>51129.42037875</v>
      </c>
      <c r="N42" s="60">
        <f t="shared" si="19"/>
        <v>0.05112942037875</v>
      </c>
      <c r="O42" s="58">
        <v>400</v>
      </c>
      <c r="P42" s="58">
        <v>400</v>
      </c>
      <c r="Q42" s="58">
        <f t="shared" si="20"/>
        <v>400</v>
      </c>
      <c r="R42" s="61">
        <f>(8000/21158)</f>
        <v>0.3781075716041214</v>
      </c>
      <c r="S42" s="60">
        <f t="shared" si="7"/>
        <v>-0.9725765428847468</v>
      </c>
      <c r="T42" s="62">
        <v>16.5</v>
      </c>
      <c r="U42" s="5">
        <v>17.7</v>
      </c>
      <c r="V42" s="5">
        <v>23.5</v>
      </c>
      <c r="W42" s="5">
        <v>22.7</v>
      </c>
      <c r="X42" s="63">
        <f t="shared" si="21"/>
        <v>20.1</v>
      </c>
      <c r="Y42" s="9">
        <v>150</v>
      </c>
      <c r="Z42" s="64">
        <f t="shared" si="22"/>
        <v>-3500</v>
      </c>
      <c r="AA42" s="9">
        <v>-3100</v>
      </c>
      <c r="AB42" s="60">
        <f t="shared" si="23"/>
        <v>0.011421052631578948</v>
      </c>
      <c r="AC42" s="61">
        <f t="shared" si="24"/>
        <v>1.5789473684210527</v>
      </c>
      <c r="AD42" s="58">
        <f t="shared" si="25"/>
        <v>667510437.8929917</v>
      </c>
      <c r="AE42" s="61">
        <f t="shared" si="26"/>
        <v>0.6675104378929917</v>
      </c>
    </row>
    <row r="43" spans="1:31" ht="11.25">
      <c r="A43" s="1" t="s">
        <v>213</v>
      </c>
      <c r="B43" s="7" t="s">
        <v>75</v>
      </c>
      <c r="C43" s="6">
        <v>-14.02459</v>
      </c>
      <c r="D43" s="6">
        <v>189.54111</v>
      </c>
      <c r="E43" s="6">
        <f t="shared" si="14"/>
        <v>9.541110000000003</v>
      </c>
      <c r="F43" s="6">
        <f t="shared" si="15"/>
        <v>-170.45889</v>
      </c>
      <c r="G43" s="7">
        <v>4120</v>
      </c>
      <c r="H43" s="7">
        <v>2980</v>
      </c>
      <c r="I43" s="7">
        <f t="shared" si="16"/>
        <v>9642804.479910001</v>
      </c>
      <c r="J43" s="10">
        <f t="shared" si="17"/>
        <v>9.642804479910001</v>
      </c>
      <c r="K43" s="7">
        <v>370</v>
      </c>
      <c r="L43" s="7">
        <v>250</v>
      </c>
      <c r="M43" s="7">
        <f t="shared" si="18"/>
        <v>72649.33003125</v>
      </c>
      <c r="N43" s="10">
        <f t="shared" si="19"/>
        <v>0.07264933003125</v>
      </c>
      <c r="O43" s="7">
        <v>420</v>
      </c>
      <c r="P43" s="7">
        <v>460</v>
      </c>
      <c r="Q43" s="7">
        <f t="shared" si="20"/>
        <v>440</v>
      </c>
      <c r="R43" s="11">
        <f>(7000/21158)</f>
        <v>0.3308441251536062</v>
      </c>
      <c r="S43" s="10">
        <f t="shared" si="7"/>
        <v>-1.1061079355092693</v>
      </c>
      <c r="T43" s="4">
        <v>7.4</v>
      </c>
      <c r="U43" s="5">
        <v>18.3</v>
      </c>
      <c r="V43" s="5">
        <v>14.5</v>
      </c>
      <c r="W43" s="5">
        <v>17.8</v>
      </c>
      <c r="X43" s="3">
        <f t="shared" si="21"/>
        <v>14.5</v>
      </c>
      <c r="Y43" s="9">
        <v>20</v>
      </c>
      <c r="Z43" s="8">
        <f t="shared" si="22"/>
        <v>-3840</v>
      </c>
      <c r="AA43" s="9">
        <v>-3400</v>
      </c>
      <c r="AB43" s="10">
        <f t="shared" si="23"/>
        <v>0.007534045741838796</v>
      </c>
      <c r="AC43" s="11">
        <f t="shared" si="24"/>
        <v>1.3825503355704698</v>
      </c>
      <c r="AD43" s="7">
        <f t="shared" si="25"/>
        <v>1547690972.4382973</v>
      </c>
      <c r="AE43" s="11">
        <f t="shared" si="26"/>
        <v>1.5476909724382972</v>
      </c>
    </row>
    <row r="44" spans="1:31" ht="11.25">
      <c r="A44" s="1" t="s">
        <v>214</v>
      </c>
      <c r="B44" s="7" t="s">
        <v>76</v>
      </c>
      <c r="C44" s="6">
        <v>-14.08271</v>
      </c>
      <c r="D44" s="6">
        <v>189.80431</v>
      </c>
      <c r="E44" s="6">
        <f t="shared" si="14"/>
        <v>9.804309999999987</v>
      </c>
      <c r="F44" s="6">
        <f t="shared" si="15"/>
        <v>-170.19569</v>
      </c>
      <c r="G44" s="7">
        <v>3050</v>
      </c>
      <c r="H44" s="7">
        <v>2930</v>
      </c>
      <c r="I44" s="7">
        <f t="shared" si="16"/>
        <v>7018710.679181251</v>
      </c>
      <c r="J44" s="10">
        <f t="shared" si="17"/>
        <v>7.01871067918125</v>
      </c>
      <c r="K44" s="7">
        <v>220</v>
      </c>
      <c r="L44" s="7">
        <v>150</v>
      </c>
      <c r="M44" s="7">
        <f t="shared" si="18"/>
        <v>25918.139362500002</v>
      </c>
      <c r="N44" s="10">
        <f t="shared" si="19"/>
        <v>0.025918139362500002</v>
      </c>
      <c r="O44" s="7">
        <v>470</v>
      </c>
      <c r="P44" s="7">
        <v>450</v>
      </c>
      <c r="Q44" s="7">
        <f t="shared" si="20"/>
        <v>460</v>
      </c>
      <c r="R44" s="11">
        <f>(6000/21158)</f>
        <v>0.283580678703091</v>
      </c>
      <c r="S44" s="10">
        <f t="shared" si="7"/>
        <v>-1.2602586153365278</v>
      </c>
      <c r="T44" s="4">
        <v>17.3</v>
      </c>
      <c r="U44" s="5">
        <v>17.7</v>
      </c>
      <c r="V44" s="5">
        <v>17.8</v>
      </c>
      <c r="W44" s="5">
        <v>15</v>
      </c>
      <c r="X44" s="3">
        <f t="shared" si="21"/>
        <v>16.95</v>
      </c>
      <c r="Y44" s="9">
        <v>20</v>
      </c>
      <c r="Z44" s="8">
        <f t="shared" si="22"/>
        <v>-2640</v>
      </c>
      <c r="AA44" s="9">
        <v>-2180</v>
      </c>
      <c r="AB44" s="10">
        <f t="shared" si="23"/>
        <v>0.003692720863872881</v>
      </c>
      <c r="AC44" s="11">
        <f t="shared" si="24"/>
        <v>1.0409556313993173</v>
      </c>
      <c r="AD44" s="7">
        <f t="shared" si="25"/>
        <v>1145574824.0187504</v>
      </c>
      <c r="AE44" s="11">
        <f t="shared" si="26"/>
        <v>1.1455748240187504</v>
      </c>
    </row>
    <row r="45" spans="1:31" ht="11.25">
      <c r="A45" s="1" t="s">
        <v>215</v>
      </c>
      <c r="B45" s="7" t="s">
        <v>77</v>
      </c>
      <c r="C45" s="6">
        <v>-13.55448</v>
      </c>
      <c r="D45" s="6">
        <v>189.87521</v>
      </c>
      <c r="E45" s="6">
        <f t="shared" si="14"/>
        <v>9.87521000000001</v>
      </c>
      <c r="F45" s="6">
        <f t="shared" si="15"/>
        <v>-170.12479</v>
      </c>
      <c r="G45" s="7">
        <v>3200</v>
      </c>
      <c r="H45" s="7">
        <v>2970</v>
      </c>
      <c r="I45" s="7">
        <f t="shared" si="16"/>
        <v>7464424.1364</v>
      </c>
      <c r="J45" s="10">
        <f t="shared" si="17"/>
        <v>7.4644241364</v>
      </c>
      <c r="K45" s="7">
        <v>240</v>
      </c>
      <c r="L45" s="7">
        <v>230</v>
      </c>
      <c r="M45" s="7">
        <f t="shared" si="18"/>
        <v>43353.97857</v>
      </c>
      <c r="N45" s="10">
        <f t="shared" si="19"/>
        <v>0.04335397857</v>
      </c>
      <c r="O45" s="7">
        <v>480</v>
      </c>
      <c r="P45" s="7">
        <v>510</v>
      </c>
      <c r="Q45" s="7">
        <f t="shared" si="20"/>
        <v>495</v>
      </c>
      <c r="R45" s="11">
        <f>(5000/21158)</f>
        <v>0.23631723225257587</v>
      </c>
      <c r="S45" s="10">
        <f t="shared" si="7"/>
        <v>-1.4425801721304825</v>
      </c>
      <c r="T45" s="4">
        <v>18.4</v>
      </c>
      <c r="U45" s="5">
        <v>17.4</v>
      </c>
      <c r="V45" s="5">
        <v>18.3</v>
      </c>
      <c r="W45" s="5">
        <v>17.4</v>
      </c>
      <c r="X45" s="3">
        <f t="shared" si="21"/>
        <v>17.875</v>
      </c>
      <c r="Y45" s="9">
        <v>10</v>
      </c>
      <c r="Z45" s="8">
        <f t="shared" si="22"/>
        <v>-4835</v>
      </c>
      <c r="AA45" s="9">
        <v>-4340</v>
      </c>
      <c r="AB45" s="10">
        <f t="shared" si="23"/>
        <v>0.005808080808080808</v>
      </c>
      <c r="AC45" s="11">
        <f t="shared" si="24"/>
        <v>1.0774410774410774</v>
      </c>
      <c r="AD45" s="7">
        <f t="shared" si="25"/>
        <v>1332646852.9918737</v>
      </c>
      <c r="AE45" s="11">
        <f t="shared" si="26"/>
        <v>1.3326468529918738</v>
      </c>
    </row>
    <row r="46" spans="1:31" ht="11.25">
      <c r="A46" s="1" t="s">
        <v>216</v>
      </c>
      <c r="B46" s="7" t="s">
        <v>79</v>
      </c>
      <c r="C46" s="6">
        <v>-13.7151</v>
      </c>
      <c r="D46" s="6">
        <v>189.72246</v>
      </c>
      <c r="E46" s="6">
        <f t="shared" si="14"/>
        <v>9.722460000000012</v>
      </c>
      <c r="F46" s="6">
        <f t="shared" si="15"/>
        <v>-170.27754</v>
      </c>
      <c r="G46" s="7">
        <v>4120</v>
      </c>
      <c r="H46" s="7">
        <v>2970</v>
      </c>
      <c r="I46" s="7">
        <f t="shared" si="16"/>
        <v>9610446.075615</v>
      </c>
      <c r="J46" s="10">
        <f t="shared" si="17"/>
        <v>9.610446075615</v>
      </c>
      <c r="K46" s="7">
        <v>230</v>
      </c>
      <c r="L46" s="7">
        <v>330</v>
      </c>
      <c r="M46" s="7">
        <f t="shared" si="18"/>
        <v>59611.720533750005</v>
      </c>
      <c r="N46" s="10">
        <f t="shared" si="19"/>
        <v>0.05961172053375</v>
      </c>
      <c r="O46" s="7">
        <v>600</v>
      </c>
      <c r="P46" s="7">
        <v>460</v>
      </c>
      <c r="Q46" s="7">
        <f t="shared" si="20"/>
        <v>530</v>
      </c>
      <c r="R46" s="11">
        <f>(3000/21158)</f>
        <v>0.1417903393515455</v>
      </c>
      <c r="S46" s="10">
        <f t="shared" si="7"/>
        <v>-1.9534057958964732</v>
      </c>
      <c r="T46" s="4">
        <v>18.7</v>
      </c>
      <c r="U46" s="5">
        <v>13.2</v>
      </c>
      <c r="V46" s="5">
        <v>20.6</v>
      </c>
      <c r="W46" s="5">
        <v>17.9</v>
      </c>
      <c r="X46" s="3">
        <f t="shared" si="21"/>
        <v>17.6</v>
      </c>
      <c r="Y46" s="9">
        <v>80</v>
      </c>
      <c r="Z46" s="8">
        <f t="shared" si="22"/>
        <v>-4120</v>
      </c>
      <c r="AA46" s="9">
        <v>-3590</v>
      </c>
      <c r="AB46" s="10">
        <f t="shared" si="23"/>
        <v>0.006202804746494067</v>
      </c>
      <c r="AC46" s="11">
        <f t="shared" si="24"/>
        <v>1.387205387205387</v>
      </c>
      <c r="AD46" s="7">
        <f t="shared" si="25"/>
        <v>1842095599.0575633</v>
      </c>
      <c r="AE46" s="11">
        <f t="shared" si="26"/>
        <v>1.8420955990575634</v>
      </c>
    </row>
    <row r="47" spans="1:31" ht="11.25">
      <c r="A47" s="1" t="s">
        <v>217</v>
      </c>
      <c r="B47" s="7" t="s">
        <v>78</v>
      </c>
      <c r="C47" s="6">
        <v>-14.14285</v>
      </c>
      <c r="D47" s="6">
        <v>189.19954</v>
      </c>
      <c r="E47" s="6">
        <f t="shared" si="14"/>
        <v>9.199540000000013</v>
      </c>
      <c r="F47" s="6">
        <f t="shared" si="15"/>
        <v>-170.80046</v>
      </c>
      <c r="G47" s="7">
        <v>3350</v>
      </c>
      <c r="H47" s="7">
        <v>2870</v>
      </c>
      <c r="I47" s="7">
        <f t="shared" si="16"/>
        <v>7551210.633356251</v>
      </c>
      <c r="J47" s="10">
        <f t="shared" si="17"/>
        <v>7.551210633356251</v>
      </c>
      <c r="K47" s="7">
        <v>300</v>
      </c>
      <c r="L47" s="7">
        <v>350</v>
      </c>
      <c r="M47" s="7">
        <f t="shared" si="18"/>
        <v>82466.80706250001</v>
      </c>
      <c r="N47" s="10">
        <f t="shared" si="19"/>
        <v>0.08246680706250001</v>
      </c>
      <c r="O47" s="7">
        <v>530</v>
      </c>
      <c r="P47" s="7">
        <v>530</v>
      </c>
      <c r="Q47" s="7">
        <f t="shared" si="20"/>
        <v>530</v>
      </c>
      <c r="R47" s="11">
        <f>(3000/21158)</f>
        <v>0.1417903393515455</v>
      </c>
      <c r="S47" s="10">
        <f t="shared" si="7"/>
        <v>-1.9534057958964732</v>
      </c>
      <c r="T47" s="4">
        <v>19</v>
      </c>
      <c r="U47" s="5">
        <v>18.3</v>
      </c>
      <c r="V47" s="5">
        <v>23.5</v>
      </c>
      <c r="W47" s="5">
        <v>17.9</v>
      </c>
      <c r="X47" s="3">
        <f t="shared" si="21"/>
        <v>19.674999999999997</v>
      </c>
      <c r="Y47" s="9">
        <v>90</v>
      </c>
      <c r="Z47" s="8">
        <f t="shared" si="22"/>
        <v>-2920</v>
      </c>
      <c r="AA47" s="9">
        <v>-2390</v>
      </c>
      <c r="AB47" s="10">
        <f t="shared" si="23"/>
        <v>0.010921004732435385</v>
      </c>
      <c r="AC47" s="11">
        <f t="shared" si="24"/>
        <v>1.1672473867595818</v>
      </c>
      <c r="AD47" s="7">
        <f t="shared" si="25"/>
        <v>1488029098.8247902</v>
      </c>
      <c r="AE47" s="11">
        <f t="shared" si="26"/>
        <v>1.4880290988247902</v>
      </c>
    </row>
    <row r="48" spans="1:31" ht="11.25">
      <c r="A48" s="1" t="s">
        <v>218</v>
      </c>
      <c r="B48" s="7" t="s">
        <v>80</v>
      </c>
      <c r="C48" s="6">
        <v>-13.87163</v>
      </c>
      <c r="D48" s="6">
        <v>191.31155</v>
      </c>
      <c r="E48" s="6">
        <f t="shared" si="14"/>
        <v>11.311550000000011</v>
      </c>
      <c r="F48" s="6">
        <f t="shared" si="15"/>
        <v>-168.68845</v>
      </c>
      <c r="G48" s="7">
        <v>4650</v>
      </c>
      <c r="H48" s="7">
        <v>3390</v>
      </c>
      <c r="I48" s="7">
        <f t="shared" si="16"/>
        <v>12380623.934568752</v>
      </c>
      <c r="J48" s="10">
        <f t="shared" si="17"/>
        <v>12.380623934568751</v>
      </c>
      <c r="K48" s="7">
        <v>230</v>
      </c>
      <c r="L48" s="7">
        <v>120</v>
      </c>
      <c r="M48" s="7">
        <f t="shared" si="18"/>
        <v>21676.989285</v>
      </c>
      <c r="N48" s="10">
        <f t="shared" si="19"/>
        <v>0.021676989285</v>
      </c>
      <c r="O48" s="7">
        <v>580</v>
      </c>
      <c r="P48" s="7">
        <v>510</v>
      </c>
      <c r="Q48" s="7">
        <f t="shared" si="20"/>
        <v>545</v>
      </c>
      <c r="R48" s="11">
        <f>(2000/21158)</f>
        <v>0.09452689290103035</v>
      </c>
      <c r="S48" s="10">
        <f t="shared" si="7"/>
        <v>-2.3588709040046374</v>
      </c>
      <c r="T48" s="4">
        <v>12.4</v>
      </c>
      <c r="U48" s="5">
        <v>13.6</v>
      </c>
      <c r="V48" s="5">
        <v>16.4</v>
      </c>
      <c r="W48" s="5">
        <v>17.6</v>
      </c>
      <c r="X48" s="3">
        <f t="shared" si="21"/>
        <v>15</v>
      </c>
      <c r="Y48" s="9">
        <v>115</v>
      </c>
      <c r="Z48" s="8">
        <f t="shared" si="22"/>
        <v>-5175</v>
      </c>
      <c r="AA48" s="9">
        <v>-4630</v>
      </c>
      <c r="AB48" s="10">
        <f t="shared" si="23"/>
        <v>0.0017508801979255874</v>
      </c>
      <c r="AC48" s="11">
        <f t="shared" si="24"/>
        <v>1.3716814159292035</v>
      </c>
      <c r="AD48" s="7">
        <f t="shared" si="25"/>
        <v>2347196882.8397584</v>
      </c>
      <c r="AE48" s="11">
        <f t="shared" si="26"/>
        <v>2.3471968828397585</v>
      </c>
    </row>
    <row r="49" spans="1:31" ht="11.25">
      <c r="A49" s="1" t="s">
        <v>219</v>
      </c>
      <c r="B49" s="7" t="s">
        <v>81</v>
      </c>
      <c r="C49" s="6">
        <v>-14.3032</v>
      </c>
      <c r="D49" s="6">
        <v>190.78586</v>
      </c>
      <c r="E49" s="6">
        <f t="shared" si="14"/>
        <v>10.785860000000014</v>
      </c>
      <c r="F49" s="6">
        <f t="shared" si="15"/>
        <v>-169.21414</v>
      </c>
      <c r="G49" s="7">
        <v>4290</v>
      </c>
      <c r="H49" s="7">
        <v>3050</v>
      </c>
      <c r="I49" s="7">
        <f t="shared" si="16"/>
        <v>10276542.25723125</v>
      </c>
      <c r="J49" s="10">
        <f t="shared" si="17"/>
        <v>10.27654225723125</v>
      </c>
      <c r="K49" s="7">
        <v>280</v>
      </c>
      <c r="L49" s="7">
        <v>190</v>
      </c>
      <c r="M49" s="7">
        <f t="shared" si="18"/>
        <v>41783.182245</v>
      </c>
      <c r="N49" s="10">
        <f t="shared" si="19"/>
        <v>0.041783182245</v>
      </c>
      <c r="O49" s="7">
        <v>670</v>
      </c>
      <c r="P49" s="7">
        <v>520</v>
      </c>
      <c r="Q49" s="7">
        <f t="shared" si="20"/>
        <v>595</v>
      </c>
      <c r="R49" s="11">
        <f>(1000/21158)</f>
        <v>0.047263446450515174</v>
      </c>
      <c r="S49" s="10">
        <f t="shared" si="7"/>
        <v>-3.052018084564583</v>
      </c>
      <c r="T49" s="4">
        <v>20.4</v>
      </c>
      <c r="U49" s="5">
        <v>13.4</v>
      </c>
      <c r="V49" s="5">
        <v>18.6</v>
      </c>
      <c r="W49" s="5">
        <v>19.7</v>
      </c>
      <c r="X49" s="3">
        <f t="shared" si="21"/>
        <v>18.025</v>
      </c>
      <c r="Y49" s="9">
        <v>25</v>
      </c>
      <c r="Z49" s="8">
        <f t="shared" si="22"/>
        <v>-3915</v>
      </c>
      <c r="AA49" s="9">
        <v>-3320</v>
      </c>
      <c r="AB49" s="10">
        <f t="shared" si="23"/>
        <v>0.004065879475715541</v>
      </c>
      <c r="AC49" s="11">
        <f t="shared" si="24"/>
        <v>1.4065573770491804</v>
      </c>
      <c r="AD49" s="7">
        <f t="shared" si="25"/>
        <v>2176430952.436153</v>
      </c>
      <c r="AE49" s="11">
        <f t="shared" si="26"/>
        <v>2.176430952436153</v>
      </c>
    </row>
    <row r="50" spans="1:31" ht="11.25">
      <c r="A50" s="1" t="s">
        <v>220</v>
      </c>
      <c r="B50" s="7" t="s">
        <v>82</v>
      </c>
      <c r="C50" s="6">
        <v>-14.66922</v>
      </c>
      <c r="D50" s="6">
        <v>190.38315</v>
      </c>
      <c r="E50" s="6">
        <f t="shared" si="14"/>
        <v>10.38315</v>
      </c>
      <c r="F50" s="6">
        <f t="shared" si="15"/>
        <v>-169.61685</v>
      </c>
      <c r="G50" s="7">
        <v>5330</v>
      </c>
      <c r="H50" s="7">
        <v>3890</v>
      </c>
      <c r="I50" s="7">
        <f t="shared" si="16"/>
        <v>16284209.881826252</v>
      </c>
      <c r="J50" s="10">
        <f t="shared" si="17"/>
        <v>16.284209881826254</v>
      </c>
      <c r="K50" s="7">
        <v>290</v>
      </c>
      <c r="L50" s="7">
        <v>260</v>
      </c>
      <c r="M50" s="7">
        <f t="shared" si="18"/>
        <v>59219.021452500005</v>
      </c>
      <c r="N50" s="10">
        <f t="shared" si="19"/>
        <v>0.059219021452500006</v>
      </c>
      <c r="O50" s="7">
        <v>710</v>
      </c>
      <c r="P50" s="7">
        <v>540</v>
      </c>
      <c r="Q50" s="7">
        <f t="shared" si="20"/>
        <v>625</v>
      </c>
      <c r="R50" s="22" t="s">
        <v>28</v>
      </c>
      <c r="S50" s="22" t="s">
        <v>28</v>
      </c>
      <c r="T50" s="4">
        <v>15.3</v>
      </c>
      <c r="U50" s="5">
        <v>14.3</v>
      </c>
      <c r="V50" s="5">
        <v>16.4</v>
      </c>
      <c r="W50" s="5">
        <v>17.3</v>
      </c>
      <c r="X50" s="3">
        <f t="shared" si="21"/>
        <v>15.825</v>
      </c>
      <c r="Y50" s="9">
        <v>50</v>
      </c>
      <c r="Z50" s="8">
        <f t="shared" si="22"/>
        <v>-4125</v>
      </c>
      <c r="AA50" s="9">
        <v>-3500</v>
      </c>
      <c r="AB50" s="10">
        <f t="shared" si="23"/>
        <v>0.0036365916358392374</v>
      </c>
      <c r="AC50" s="11">
        <f t="shared" si="24"/>
        <v>1.3701799485861184</v>
      </c>
      <c r="AD50" s="7">
        <f t="shared" si="25"/>
        <v>3609465518.9597254</v>
      </c>
      <c r="AE50" s="11">
        <f t="shared" si="26"/>
        <v>3.6094655189597256</v>
      </c>
    </row>
    <row r="51" spans="1:31" ht="11.25">
      <c r="A51" s="1" t="s">
        <v>221</v>
      </c>
      <c r="B51" s="7" t="s">
        <v>83</v>
      </c>
      <c r="C51" s="6">
        <v>-14.65959</v>
      </c>
      <c r="D51" s="6">
        <v>189.96523</v>
      </c>
      <c r="E51" s="6">
        <f t="shared" si="14"/>
        <v>9.965229999999991</v>
      </c>
      <c r="F51" s="6">
        <f t="shared" si="15"/>
        <v>-170.03477</v>
      </c>
      <c r="G51" s="7">
        <v>4140</v>
      </c>
      <c r="H51" s="7">
        <v>4070</v>
      </c>
      <c r="I51" s="7">
        <f t="shared" si="16"/>
        <v>13233801.9584925</v>
      </c>
      <c r="J51" s="10">
        <f t="shared" si="17"/>
        <v>13.233801958492501</v>
      </c>
      <c r="K51" s="7">
        <v>100</v>
      </c>
      <c r="L51" s="7">
        <v>310</v>
      </c>
      <c r="M51" s="7">
        <f t="shared" si="18"/>
        <v>24347.343037500003</v>
      </c>
      <c r="N51" s="10">
        <f t="shared" si="19"/>
        <v>0.024347343037500004</v>
      </c>
      <c r="O51" s="7">
        <v>640</v>
      </c>
      <c r="P51" s="7">
        <v>630</v>
      </c>
      <c r="Q51" s="7">
        <f t="shared" si="20"/>
        <v>635</v>
      </c>
      <c r="R51" s="23" t="s">
        <v>28</v>
      </c>
      <c r="S51" s="24" t="s">
        <v>28</v>
      </c>
      <c r="T51" s="4">
        <v>18.6</v>
      </c>
      <c r="U51" s="5">
        <v>14.8</v>
      </c>
      <c r="V51" s="5">
        <v>20.4</v>
      </c>
      <c r="W51" s="5">
        <v>14.3</v>
      </c>
      <c r="X51" s="3">
        <f t="shared" si="21"/>
        <v>17.025000000000002</v>
      </c>
      <c r="Y51" s="9">
        <v>10</v>
      </c>
      <c r="Z51" s="8">
        <f t="shared" si="22"/>
        <v>-3175</v>
      </c>
      <c r="AA51" s="9">
        <v>-2540</v>
      </c>
      <c r="AB51" s="10">
        <f t="shared" si="23"/>
        <v>0.0018397844484801008</v>
      </c>
      <c r="AC51" s="11">
        <f t="shared" si="24"/>
        <v>1.0171990171990173</v>
      </c>
      <c r="AD51" s="7">
        <f t="shared" si="25"/>
        <v>2926457383.0844765</v>
      </c>
      <c r="AE51" s="11">
        <f t="shared" si="26"/>
        <v>2.9264573830844767</v>
      </c>
    </row>
    <row r="52" spans="1:31" ht="12" thickBot="1">
      <c r="A52" s="1" t="s">
        <v>222</v>
      </c>
      <c r="B52" s="7" t="s">
        <v>84</v>
      </c>
      <c r="C52" s="6">
        <v>-14.53092</v>
      </c>
      <c r="D52" s="6">
        <v>191.58075</v>
      </c>
      <c r="E52" s="6">
        <f t="shared" si="14"/>
        <v>11.580749999999995</v>
      </c>
      <c r="F52" s="6">
        <f t="shared" si="15"/>
        <v>-168.41925</v>
      </c>
      <c r="G52" s="7">
        <v>6930</v>
      </c>
      <c r="H52" s="7">
        <v>6710</v>
      </c>
      <c r="I52" s="7">
        <f t="shared" si="16"/>
        <v>36521250.17569875</v>
      </c>
      <c r="J52" s="10">
        <f t="shared" si="17"/>
        <v>36.521250175698746</v>
      </c>
      <c r="K52" s="7">
        <v>210</v>
      </c>
      <c r="L52" s="7">
        <v>320</v>
      </c>
      <c r="M52" s="7">
        <f t="shared" si="18"/>
        <v>52778.75652</v>
      </c>
      <c r="N52" s="10">
        <f t="shared" si="19"/>
        <v>0.052778756520000004</v>
      </c>
      <c r="O52" s="7">
        <v>850</v>
      </c>
      <c r="P52" s="7">
        <v>850</v>
      </c>
      <c r="Q52" s="7">
        <f t="shared" si="20"/>
        <v>850</v>
      </c>
      <c r="R52" s="23" t="s">
        <v>28</v>
      </c>
      <c r="S52" s="25" t="s">
        <v>28</v>
      </c>
      <c r="T52" s="4">
        <v>13.6</v>
      </c>
      <c r="U52" s="5">
        <v>14.8</v>
      </c>
      <c r="V52" s="5">
        <v>14.7</v>
      </c>
      <c r="W52" s="5">
        <v>13.1</v>
      </c>
      <c r="X52" s="3">
        <f t="shared" si="21"/>
        <v>14.049999999999999</v>
      </c>
      <c r="Y52" s="9">
        <v>45</v>
      </c>
      <c r="Z52" s="8">
        <f t="shared" si="22"/>
        <v>-4950</v>
      </c>
      <c r="AA52" s="9">
        <v>-4100</v>
      </c>
      <c r="AB52" s="10">
        <f t="shared" si="23"/>
        <v>0.0014451519667615048</v>
      </c>
      <c r="AC52" s="11">
        <f t="shared" si="24"/>
        <v>1.0327868852459017</v>
      </c>
      <c r="AD52" s="7">
        <f t="shared" si="25"/>
        <v>10756010471.051447</v>
      </c>
      <c r="AE52" s="11">
        <f t="shared" si="26"/>
        <v>10.756010471051447</v>
      </c>
    </row>
    <row r="53" spans="2:31" ht="11.25">
      <c r="B53" s="26"/>
      <c r="C53" s="13"/>
      <c r="D53" s="13"/>
      <c r="E53" s="13"/>
      <c r="F53" s="13"/>
      <c r="G53" s="12"/>
      <c r="H53" s="27" t="s">
        <v>29</v>
      </c>
      <c r="I53" s="28">
        <f>SUM(I2:I52)</f>
        <v>340512122.2454438</v>
      </c>
      <c r="J53" s="29">
        <f t="shared" si="17"/>
        <v>340.51212224544383</v>
      </c>
      <c r="K53" s="12"/>
      <c r="L53" s="27" t="s">
        <v>29</v>
      </c>
      <c r="M53" s="28">
        <f>SUM(M2:M52)</f>
        <v>4583740.7559825005</v>
      </c>
      <c r="N53" s="29">
        <f>SUM(N2:N52)</f>
        <v>4.5837407559825</v>
      </c>
      <c r="O53" s="12"/>
      <c r="P53" s="27" t="s">
        <v>29</v>
      </c>
      <c r="Q53" s="52">
        <f>SUM(Q2:Q52)</f>
        <v>16565</v>
      </c>
      <c r="R53" s="54" t="s">
        <v>26</v>
      </c>
      <c r="S53" s="50">
        <f>SLOPE(S2:S49,Q2:Q49)</f>
        <v>-0.00720614222567509</v>
      </c>
      <c r="T53" s="14"/>
      <c r="U53" s="15"/>
      <c r="V53" s="15"/>
      <c r="W53" s="27" t="s">
        <v>29</v>
      </c>
      <c r="X53" s="36">
        <f aca="true" t="shared" si="27" ref="X53:AE53">SUM(X2:X52)</f>
        <v>684.5999999999998</v>
      </c>
      <c r="Y53" s="28">
        <f t="shared" si="27"/>
        <v>3340</v>
      </c>
      <c r="Z53" s="28">
        <f t="shared" si="27"/>
        <v>-214595</v>
      </c>
      <c r="AA53" s="28">
        <f t="shared" si="27"/>
        <v>-198030</v>
      </c>
      <c r="AB53" s="37">
        <f t="shared" si="27"/>
        <v>0.6118821069962799</v>
      </c>
      <c r="AC53" s="38">
        <f t="shared" si="27"/>
        <v>65.08972199320777</v>
      </c>
      <c r="AD53" s="28">
        <f t="shared" si="27"/>
        <v>51382981705.47175</v>
      </c>
      <c r="AE53" s="39">
        <f t="shared" si="27"/>
        <v>51.382981705471735</v>
      </c>
    </row>
    <row r="54" spans="2:31" ht="11.25">
      <c r="B54" s="26"/>
      <c r="C54" s="13"/>
      <c r="D54" s="13"/>
      <c r="E54" s="13"/>
      <c r="F54" s="13"/>
      <c r="G54" s="12"/>
      <c r="H54" s="30" t="s">
        <v>30</v>
      </c>
      <c r="I54" s="31">
        <f>AVERAGE(I2:I52)</f>
        <v>6676708.279322428</v>
      </c>
      <c r="J54" s="32">
        <f t="shared" si="17"/>
        <v>6.676708279322428</v>
      </c>
      <c r="K54" s="12"/>
      <c r="L54" s="30" t="s">
        <v>30</v>
      </c>
      <c r="M54" s="31">
        <f>AVERAGE(M2:M52)</f>
        <v>89877.26972514707</v>
      </c>
      <c r="N54" s="32">
        <f>AVERAGE(N2:N52)</f>
        <v>0.08987726972514706</v>
      </c>
      <c r="O54" s="12"/>
      <c r="P54" s="30" t="s">
        <v>30</v>
      </c>
      <c r="Q54" s="53">
        <f>AVERAGE(Q2:Q52)</f>
        <v>324.80392156862746</v>
      </c>
      <c r="R54" s="55" t="s">
        <v>27</v>
      </c>
      <c r="S54" s="51">
        <f>-1*(1/S53)</f>
        <v>138.77050558855953</v>
      </c>
      <c r="T54" s="14"/>
      <c r="U54" s="15"/>
      <c r="V54" s="15"/>
      <c r="W54" s="30" t="s">
        <v>30</v>
      </c>
      <c r="X54" s="40">
        <f aca="true" t="shared" si="28" ref="X54:AE54">AVERAGE(X2:X52)</f>
        <v>13.423529411764703</v>
      </c>
      <c r="Y54" s="31">
        <f t="shared" si="28"/>
        <v>65.49019607843137</v>
      </c>
      <c r="Z54" s="31">
        <f t="shared" si="28"/>
        <v>-4207.745098039216</v>
      </c>
      <c r="AA54" s="31">
        <f t="shared" si="28"/>
        <v>-3882.9411764705883</v>
      </c>
      <c r="AB54" s="41">
        <f t="shared" si="28"/>
        <v>0.011997688372476075</v>
      </c>
      <c r="AC54" s="42">
        <f t="shared" si="28"/>
        <v>1.2762690586903485</v>
      </c>
      <c r="AD54" s="31">
        <f t="shared" si="28"/>
        <v>1007509445.2053283</v>
      </c>
      <c r="AE54" s="43">
        <f t="shared" si="28"/>
        <v>1.0075094452053281</v>
      </c>
    </row>
    <row r="55" spans="2:31" ht="12" thickBot="1">
      <c r="B55" s="26"/>
      <c r="C55" s="13"/>
      <c r="D55" s="13"/>
      <c r="E55" s="13"/>
      <c r="F55" s="13"/>
      <c r="G55" s="12"/>
      <c r="H55" s="30" t="s">
        <v>31</v>
      </c>
      <c r="I55" s="31">
        <f>STDEV(I2:I52)</f>
        <v>5580537.528270262</v>
      </c>
      <c r="J55" s="32">
        <f>STDEV(J2:J52)</f>
        <v>5.580537528270262</v>
      </c>
      <c r="K55" s="12"/>
      <c r="L55" s="30" t="s">
        <v>31</v>
      </c>
      <c r="M55" s="31">
        <f>STDEV(M2:M52)</f>
        <v>282643.24265334295</v>
      </c>
      <c r="N55" s="32">
        <f>STDEV(N2:N52)</f>
        <v>0.2826432426533429</v>
      </c>
      <c r="O55" s="12"/>
      <c r="P55" s="30" t="s">
        <v>31</v>
      </c>
      <c r="Q55" s="53">
        <f>STDEV(Q2:Q52)</f>
        <v>152.03605093632805</v>
      </c>
      <c r="R55" s="56" t="s">
        <v>165</v>
      </c>
      <c r="S55" s="49">
        <v>139</v>
      </c>
      <c r="T55" s="14"/>
      <c r="U55" s="15"/>
      <c r="V55" s="15"/>
      <c r="W55" s="30" t="s">
        <v>31</v>
      </c>
      <c r="X55" s="40">
        <f aca="true" t="shared" si="29" ref="X55:AE55">STDEV(X2:X52)</f>
        <v>3.4763717140314183</v>
      </c>
      <c r="Y55" s="31">
        <f t="shared" si="29"/>
        <v>56.14494547117118</v>
      </c>
      <c r="Z55" s="31">
        <f t="shared" si="29"/>
        <v>726.8062422169271</v>
      </c>
      <c r="AA55" s="31">
        <f t="shared" si="29"/>
        <v>758.5230230326481</v>
      </c>
      <c r="AB55" s="41">
        <f t="shared" si="29"/>
        <v>0.016056021373797105</v>
      </c>
      <c r="AC55" s="42">
        <f t="shared" si="29"/>
        <v>0.2445330385075668</v>
      </c>
      <c r="AD55" s="31">
        <f t="shared" si="29"/>
        <v>1578867268.9827557</v>
      </c>
      <c r="AE55" s="43">
        <f t="shared" si="29"/>
        <v>1.578867268982756</v>
      </c>
    </row>
    <row r="56" spans="2:31" ht="11.25">
      <c r="B56" s="26"/>
      <c r="C56" s="13"/>
      <c r="D56" s="13"/>
      <c r="E56" s="13"/>
      <c r="F56" s="13"/>
      <c r="G56" s="12"/>
      <c r="H56" s="30" t="s">
        <v>32</v>
      </c>
      <c r="I56" s="31">
        <f>MIN(I2:I52)</f>
        <v>1706356.0478475</v>
      </c>
      <c r="J56" s="32">
        <f>MIN(J2:J52)</f>
        <v>1.7063560478475002</v>
      </c>
      <c r="K56" s="12"/>
      <c r="L56" s="30" t="s">
        <v>32</v>
      </c>
      <c r="M56" s="31">
        <f>MIN(M2:M52)</f>
        <v>4398.2297100000005</v>
      </c>
      <c r="N56" s="32">
        <f>MIN(N2:N52)</f>
        <v>0.004398229710000001</v>
      </c>
      <c r="O56" s="12"/>
      <c r="P56" s="30" t="s">
        <v>32</v>
      </c>
      <c r="Q56" s="48">
        <f>MIN(Q2:Q52)</f>
        <v>105</v>
      </c>
      <c r="R56" s="12"/>
      <c r="S56" s="12"/>
      <c r="T56" s="14"/>
      <c r="U56" s="15"/>
      <c r="V56" s="15"/>
      <c r="W56" s="30" t="s">
        <v>32</v>
      </c>
      <c r="X56" s="40">
        <f aca="true" t="shared" si="30" ref="X56:AE56">MIN(X2:X52)</f>
        <v>5.8999999999999995</v>
      </c>
      <c r="Y56" s="31">
        <f t="shared" si="30"/>
        <v>0</v>
      </c>
      <c r="Z56" s="31">
        <f t="shared" si="30"/>
        <v>-5205</v>
      </c>
      <c r="AA56" s="31">
        <f t="shared" si="30"/>
        <v>-5070</v>
      </c>
      <c r="AB56" s="41">
        <f t="shared" si="30"/>
        <v>0.0014451519667615048</v>
      </c>
      <c r="AC56" s="42">
        <f t="shared" si="30"/>
        <v>1.0046296296296295</v>
      </c>
      <c r="AD56" s="31">
        <f t="shared" si="30"/>
        <v>87522632.73163676</v>
      </c>
      <c r="AE56" s="43">
        <f t="shared" si="30"/>
        <v>0.08752263273163677</v>
      </c>
    </row>
    <row r="57" spans="2:31" ht="12" thickBot="1">
      <c r="B57" s="26"/>
      <c r="C57" s="13"/>
      <c r="D57" s="13"/>
      <c r="E57" s="13"/>
      <c r="F57" s="13"/>
      <c r="G57" s="12"/>
      <c r="H57" s="33" t="s">
        <v>33</v>
      </c>
      <c r="I57" s="34">
        <f>MAX(I2:I52)</f>
        <v>36521250.17569875</v>
      </c>
      <c r="J57" s="35">
        <f>MAX(J2:J52)</f>
        <v>36.521250175698746</v>
      </c>
      <c r="K57" s="12"/>
      <c r="L57" s="33" t="s">
        <v>33</v>
      </c>
      <c r="M57" s="34">
        <f>MAX(M2:M52)</f>
        <v>2048711.1068812502</v>
      </c>
      <c r="N57" s="35">
        <f>MAX(N2:N52)</f>
        <v>2.04871110688125</v>
      </c>
      <c r="O57" s="12"/>
      <c r="P57" s="33" t="s">
        <v>33</v>
      </c>
      <c r="Q57" s="66">
        <f>MAX(Q2:Q52)</f>
        <v>850</v>
      </c>
      <c r="R57" s="12"/>
      <c r="S57" s="12"/>
      <c r="T57" s="14"/>
      <c r="U57" s="15"/>
      <c r="V57" s="15"/>
      <c r="W57" s="33" t="s">
        <v>33</v>
      </c>
      <c r="X57" s="44">
        <f aca="true" t="shared" si="31" ref="X57:AE57">MAX(X2:X52)</f>
        <v>20.1</v>
      </c>
      <c r="Y57" s="34">
        <f t="shared" si="31"/>
        <v>170</v>
      </c>
      <c r="Z57" s="34">
        <f t="shared" si="31"/>
        <v>-2640</v>
      </c>
      <c r="AA57" s="34">
        <f t="shared" si="31"/>
        <v>-2180</v>
      </c>
      <c r="AB57" s="45">
        <f t="shared" si="31"/>
        <v>0.10209313430031859</v>
      </c>
      <c r="AC57" s="46">
        <f t="shared" si="31"/>
        <v>2.1</v>
      </c>
      <c r="AD57" s="34">
        <f t="shared" si="31"/>
        <v>10756010471.051447</v>
      </c>
      <c r="AE57" s="47">
        <f t="shared" si="31"/>
        <v>10.756010471051447</v>
      </c>
    </row>
    <row r="58" spans="17:18" ht="11.25">
      <c r="Q58" s="27" t="s">
        <v>31</v>
      </c>
      <c r="R58" s="72">
        <f>STDEV(R2:R49)</f>
        <v>0.6633352733708299</v>
      </c>
    </row>
    <row r="59" spans="17:18" ht="12" thickBot="1">
      <c r="Q59" s="73" t="s">
        <v>168</v>
      </c>
      <c r="R59" s="74">
        <f>CONFIDENCE(0.05,R58,48)</f>
        <v>0.18765518306398715</v>
      </c>
    </row>
    <row r="60" ht="11.25">
      <c r="R60" s="1">
        <f>(1.96)*(R58/(SQRT(48)))</f>
        <v>0.1876586313353751</v>
      </c>
    </row>
    <row r="61" ht="11.25">
      <c r="K61" s="11"/>
    </row>
    <row r="62" ht="11.25">
      <c r="K62" s="11"/>
    </row>
    <row r="63" ht="11.25">
      <c r="K63" s="11"/>
    </row>
    <row r="64" ht="11.25">
      <c r="K64" s="11"/>
    </row>
    <row r="65" ht="11.25">
      <c r="K65" s="11"/>
    </row>
    <row r="66" ht="11.25">
      <c r="K66" s="11"/>
    </row>
    <row r="67" ht="11.25">
      <c r="K67" s="11"/>
    </row>
    <row r="68" ht="11.25">
      <c r="K68" s="11"/>
    </row>
    <row r="69" ht="11.25">
      <c r="K69" s="11"/>
    </row>
    <row r="70" ht="11.25">
      <c r="K70" s="11"/>
    </row>
    <row r="71" ht="11.25">
      <c r="K71" s="11"/>
    </row>
    <row r="72" ht="11.25">
      <c r="K72" s="11"/>
    </row>
    <row r="73" ht="11.25">
      <c r="K73" s="11"/>
    </row>
    <row r="74" ht="11.25">
      <c r="K74" s="11"/>
    </row>
    <row r="75" ht="11.25">
      <c r="K75" s="11"/>
    </row>
    <row r="76" ht="11.25">
      <c r="K76" s="11"/>
    </row>
    <row r="77" ht="11.25">
      <c r="K77" s="11"/>
    </row>
    <row r="78" ht="11.25">
      <c r="K78" s="11"/>
    </row>
    <row r="79" ht="11.25">
      <c r="K79" s="11"/>
    </row>
    <row r="80" ht="11.25">
      <c r="K80" s="11"/>
    </row>
    <row r="81" ht="11.25">
      <c r="K81" s="11"/>
    </row>
    <row r="82" ht="11.25">
      <c r="K82" s="11"/>
    </row>
    <row r="83" ht="11.25">
      <c r="K83" s="11"/>
    </row>
    <row r="84" ht="11.25">
      <c r="K84" s="11"/>
    </row>
    <row r="85" ht="11.25">
      <c r="K85" s="11"/>
    </row>
    <row r="86" ht="11.25">
      <c r="K86" s="11"/>
    </row>
    <row r="87" ht="11.25">
      <c r="K87" s="11"/>
    </row>
    <row r="88" ht="11.25">
      <c r="K88" s="11"/>
    </row>
    <row r="89" ht="11.25">
      <c r="K89" s="11"/>
    </row>
    <row r="90" ht="11.25">
      <c r="K90" s="11"/>
    </row>
    <row r="91" ht="11.25">
      <c r="K91" s="11"/>
    </row>
    <row r="92" ht="12" thickBot="1">
      <c r="K92" s="11"/>
    </row>
    <row r="93" spans="11:14" ht="11.25">
      <c r="K93" s="11"/>
      <c r="L93" s="27" t="s">
        <v>162</v>
      </c>
      <c r="M93" s="67">
        <v>2.7182818284</v>
      </c>
      <c r="N93" s="71"/>
    </row>
    <row r="94" spans="11:14" ht="11.25">
      <c r="K94" s="11"/>
      <c r="L94" s="30" t="s">
        <v>163</v>
      </c>
      <c r="M94" s="68">
        <v>7.6153</v>
      </c>
      <c r="N94" s="71"/>
    </row>
    <row r="95" spans="11:14" ht="11.25">
      <c r="K95" s="11"/>
      <c r="L95" s="30" t="s">
        <v>164</v>
      </c>
      <c r="M95" s="68">
        <v>-0.0072</v>
      </c>
      <c r="N95" s="71"/>
    </row>
    <row r="96" spans="11:14" ht="11.25">
      <c r="K96" s="11"/>
      <c r="L96" s="30" t="s">
        <v>166</v>
      </c>
      <c r="M96" s="69">
        <f>-1*(1/S53)</f>
        <v>138.77050558855953</v>
      </c>
      <c r="N96" s="71"/>
    </row>
    <row r="97" spans="11:14" ht="12" thickBot="1">
      <c r="K97" s="11"/>
      <c r="L97" s="33" t="s">
        <v>167</v>
      </c>
      <c r="M97" s="70">
        <f>(M94*(M93^(M95*M96)))</f>
        <v>2.8039012227417586</v>
      </c>
      <c r="N97" s="71"/>
    </row>
    <row r="98" ht="11.25">
      <c r="K98" s="11"/>
    </row>
    <row r="99" ht="11.25">
      <c r="K99" s="11"/>
    </row>
    <row r="100" ht="11.25">
      <c r="K100" s="11"/>
    </row>
    <row r="101" ht="11.25">
      <c r="K101" s="11"/>
    </row>
    <row r="102" ht="11.25">
      <c r="K102" s="11"/>
    </row>
    <row r="103" ht="11.25">
      <c r="K103" s="11"/>
    </row>
    <row r="104" ht="11.25">
      <c r="K104" s="11"/>
    </row>
    <row r="105" ht="11.25">
      <c r="K105" s="11"/>
    </row>
    <row r="106" ht="11.25">
      <c r="K106" s="11"/>
    </row>
    <row r="107" ht="11.25">
      <c r="K107" s="11"/>
    </row>
    <row r="108" ht="11.25">
      <c r="K108" s="11"/>
    </row>
    <row r="109" ht="11.25">
      <c r="K109" s="11"/>
    </row>
    <row r="110" ht="11.25">
      <c r="K110" s="11"/>
    </row>
    <row r="111" ht="11.25">
      <c r="K111" s="1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1"/>
  <sheetViews>
    <sheetView tabSelected="1" workbookViewId="0" topLeftCell="T1">
      <pane ySplit="1" topLeftCell="BM11" activePane="bottomLeft" state="frozen"/>
      <selection pane="topLeft" activeCell="D1" sqref="D1"/>
      <selection pane="bottomLeft" activeCell="AE59" sqref="AE59"/>
    </sheetView>
  </sheetViews>
  <sheetFormatPr defaultColWidth="9.140625" defaultRowHeight="12.75"/>
  <cols>
    <col min="1" max="1" width="10.8515625" style="1" bestFit="1" customWidth="1"/>
    <col min="2" max="2" width="20.00390625" style="1" bestFit="1" customWidth="1"/>
    <col min="3" max="3" width="8.00390625" style="1" bestFit="1" customWidth="1"/>
    <col min="4" max="4" width="13.7109375" style="1" bestFit="1" customWidth="1"/>
    <col min="5" max="5" width="7.421875" style="1" bestFit="1" customWidth="1"/>
    <col min="6" max="6" width="9.00390625" style="1" bestFit="1" customWidth="1"/>
    <col min="7" max="7" width="13.7109375" style="1" bestFit="1" customWidth="1"/>
    <col min="8" max="8" width="13.8515625" style="1" bestFit="1" customWidth="1"/>
    <col min="9" max="9" width="12.8515625" style="1" bestFit="1" customWidth="1"/>
    <col min="10" max="10" width="14.140625" style="1" bestFit="1" customWidth="1"/>
    <col min="11" max="11" width="16.00390625" style="1" bestFit="1" customWidth="1"/>
    <col min="12" max="12" width="16.140625" style="1" bestFit="1" customWidth="1"/>
    <col min="13" max="13" width="15.28125" style="1" bestFit="1" customWidth="1"/>
    <col min="14" max="14" width="16.421875" style="1" bestFit="1" customWidth="1"/>
    <col min="15" max="15" width="10.8515625" style="1" bestFit="1" customWidth="1"/>
    <col min="16" max="16" width="11.00390625" style="1" bestFit="1" customWidth="1"/>
    <col min="17" max="17" width="13.140625" style="1" bestFit="1" customWidth="1"/>
    <col min="18" max="18" width="16.00390625" style="1" bestFit="1" customWidth="1"/>
    <col min="19" max="19" width="20.57421875" style="1" bestFit="1" customWidth="1"/>
    <col min="20" max="20" width="14.00390625" style="1" bestFit="1" customWidth="1"/>
    <col min="21" max="21" width="14.8515625" style="1" bestFit="1" customWidth="1"/>
    <col min="22" max="22" width="14.140625" style="1" bestFit="1" customWidth="1"/>
    <col min="23" max="23" width="15.00390625" style="1" bestFit="1" customWidth="1"/>
    <col min="24" max="24" width="12.421875" style="1" bestFit="1" customWidth="1"/>
    <col min="25" max="25" width="20.8515625" style="1" bestFit="1" customWidth="1"/>
    <col min="26" max="26" width="9.8515625" style="1" bestFit="1" customWidth="1"/>
    <col min="27" max="27" width="12.140625" style="1" bestFit="1" customWidth="1"/>
    <col min="28" max="28" width="7.7109375" style="1" bestFit="1" customWidth="1"/>
    <col min="29" max="29" width="13.57421875" style="1" bestFit="1" customWidth="1"/>
    <col min="30" max="30" width="11.140625" style="1" bestFit="1" customWidth="1"/>
    <col min="31" max="31" width="12.140625" style="1" bestFit="1" customWidth="1"/>
    <col min="32" max="16384" width="9.140625" style="1" customWidth="1"/>
  </cols>
  <sheetData>
    <row r="1" spans="1:31" ht="12" thickBot="1">
      <c r="A1" s="75" t="s">
        <v>171</v>
      </c>
      <c r="B1" s="2" t="s">
        <v>34</v>
      </c>
      <c r="C1" s="2" t="s">
        <v>0</v>
      </c>
      <c r="D1" s="2" t="s">
        <v>9</v>
      </c>
      <c r="E1" s="2" t="s">
        <v>10</v>
      </c>
      <c r="F1" s="2" t="s">
        <v>1</v>
      </c>
      <c r="G1" s="2" t="s">
        <v>2</v>
      </c>
      <c r="H1" s="2" t="s">
        <v>3</v>
      </c>
      <c r="I1" s="2" t="s">
        <v>89</v>
      </c>
      <c r="J1" s="2" t="s">
        <v>88</v>
      </c>
      <c r="K1" s="2" t="s">
        <v>4</v>
      </c>
      <c r="L1" s="2" t="s">
        <v>5</v>
      </c>
      <c r="M1" s="2" t="s">
        <v>87</v>
      </c>
      <c r="N1" s="2" t="s">
        <v>86</v>
      </c>
      <c r="O1" s="2" t="s">
        <v>11</v>
      </c>
      <c r="P1" s="2" t="s">
        <v>12</v>
      </c>
      <c r="Q1" s="2" t="s">
        <v>19</v>
      </c>
      <c r="R1" s="2" t="s">
        <v>169</v>
      </c>
      <c r="S1" s="2" t="s">
        <v>170</v>
      </c>
      <c r="T1" s="2" t="s">
        <v>13</v>
      </c>
      <c r="U1" s="2" t="s">
        <v>14</v>
      </c>
      <c r="V1" s="2" t="s">
        <v>15</v>
      </c>
      <c r="W1" s="2" t="s">
        <v>16</v>
      </c>
      <c r="X1" s="2" t="s">
        <v>6</v>
      </c>
      <c r="Y1" s="2" t="s">
        <v>21</v>
      </c>
      <c r="Z1" s="2" t="s">
        <v>17</v>
      </c>
      <c r="AA1" s="2" t="s">
        <v>18</v>
      </c>
      <c r="AB1" s="2" t="s">
        <v>7</v>
      </c>
      <c r="AC1" s="2" t="s">
        <v>8</v>
      </c>
      <c r="AD1" s="2" t="s">
        <v>20</v>
      </c>
      <c r="AE1" s="2" t="s">
        <v>85</v>
      </c>
    </row>
    <row r="2" spans="1:31" ht="11.25">
      <c r="A2" s="1" t="s">
        <v>172</v>
      </c>
      <c r="B2" s="7" t="s">
        <v>35</v>
      </c>
      <c r="C2" s="6">
        <v>-15.14844</v>
      </c>
      <c r="D2" s="6">
        <v>189.1083</v>
      </c>
      <c r="E2" s="6">
        <f aca="true" t="shared" si="0" ref="E2:E33">(D2-180)</f>
        <v>9.108300000000014</v>
      </c>
      <c r="F2" s="6">
        <f aca="true" t="shared" si="1" ref="F2:F33">((180-E2)*-1)</f>
        <v>-170.8917</v>
      </c>
      <c r="G2" s="7">
        <v>2010</v>
      </c>
      <c r="H2" s="7">
        <v>1370</v>
      </c>
      <c r="I2" s="7">
        <f aca="true" t="shared" si="2" ref="I2:I33">(3.14159265*((G2/2)*(H2/2)))</f>
        <v>2162750.92007625</v>
      </c>
      <c r="J2" s="10">
        <f aca="true" t="shared" si="3" ref="J2:J33">I2/1000000</f>
        <v>2.1627509200762502</v>
      </c>
      <c r="K2" s="7">
        <v>350</v>
      </c>
      <c r="L2" s="7">
        <v>300</v>
      </c>
      <c r="M2" s="7">
        <f aca="true" t="shared" si="4" ref="M2:M33">(3.14159265*((K2/2)*(L2/2)))</f>
        <v>82466.80706250001</v>
      </c>
      <c r="N2" s="10">
        <f aca="true" t="shared" si="5" ref="N2:N33">M2/1000000</f>
        <v>0.08246680706250001</v>
      </c>
      <c r="O2" s="7">
        <v>110</v>
      </c>
      <c r="P2" s="7">
        <v>100</v>
      </c>
      <c r="Q2" s="7">
        <f aca="true" t="shared" si="6" ref="Q2:Q33">AVERAGE(O2:P2)</f>
        <v>105</v>
      </c>
      <c r="R2" s="11">
        <f>(48000/21158)</f>
        <v>2.268645429624728</v>
      </c>
      <c r="S2" s="10">
        <f aca="true" t="shared" si="7" ref="S2:S49">LN(R2)</f>
        <v>0.819182926343308</v>
      </c>
      <c r="T2" s="4">
        <v>5.4</v>
      </c>
      <c r="U2" s="5">
        <v>6.4</v>
      </c>
      <c r="V2" s="5">
        <v>6.4</v>
      </c>
      <c r="W2" s="5">
        <v>8.8</v>
      </c>
      <c r="X2" s="3">
        <f aca="true" t="shared" si="8" ref="X2:X33">AVERAGE(T2:W2)</f>
        <v>6.750000000000001</v>
      </c>
      <c r="Y2" s="9">
        <v>60</v>
      </c>
      <c r="Z2" s="8">
        <f aca="true" t="shared" si="9" ref="Z2:Z33">(AA2-Q2)</f>
        <v>-4505</v>
      </c>
      <c r="AA2" s="9">
        <v>-4400</v>
      </c>
      <c r="AB2" s="10">
        <f aca="true" t="shared" si="10" ref="AB2:AB33">(M2/I2)</f>
        <v>0.03813051530667829</v>
      </c>
      <c r="AC2" s="11">
        <f aca="true" t="shared" si="11" ref="AC2:AC33">(G2/H2)</f>
        <v>1.467153284671533</v>
      </c>
      <c r="AD2" s="7">
        <f aca="true" t="shared" si="12" ref="AD2:AD33">(1/3)*Q2*(M2+I2+(SQRT(M2*I2)))</f>
        <v>93363861.07747144</v>
      </c>
      <c r="AE2" s="11">
        <f aca="true" t="shared" si="13" ref="AE2:AE33">AD2/1000000000</f>
        <v>0.09336386107747144</v>
      </c>
    </row>
    <row r="3" spans="1:31" ht="11.25">
      <c r="A3" s="1" t="s">
        <v>173</v>
      </c>
      <c r="B3" s="7" t="s">
        <v>36</v>
      </c>
      <c r="C3" s="6">
        <v>-15.09629</v>
      </c>
      <c r="D3" s="6">
        <v>189.06009</v>
      </c>
      <c r="E3" s="6">
        <f t="shared" si="0"/>
        <v>9.060090000000002</v>
      </c>
      <c r="F3" s="6">
        <f t="shared" si="1"/>
        <v>-170.93991</v>
      </c>
      <c r="G3" s="7">
        <v>2600</v>
      </c>
      <c r="H3" s="7">
        <v>1780</v>
      </c>
      <c r="I3" s="7">
        <f t="shared" si="2"/>
        <v>3634822.6960500004</v>
      </c>
      <c r="J3" s="10">
        <f t="shared" si="3"/>
        <v>3.6348226960500005</v>
      </c>
      <c r="K3" s="7">
        <v>450</v>
      </c>
      <c r="L3" s="7">
        <v>270</v>
      </c>
      <c r="M3" s="7">
        <f t="shared" si="4"/>
        <v>95425.87674375</v>
      </c>
      <c r="N3" s="10">
        <f t="shared" si="5"/>
        <v>0.09542587674375001</v>
      </c>
      <c r="O3" s="7">
        <v>100</v>
      </c>
      <c r="P3" s="7">
        <v>120</v>
      </c>
      <c r="Q3" s="7">
        <f t="shared" si="6"/>
        <v>110</v>
      </c>
      <c r="R3" s="11">
        <f>(47000/21158)</f>
        <v>2.221381983174213</v>
      </c>
      <c r="S3" s="10">
        <f t="shared" si="7"/>
        <v>0.7981295171454759</v>
      </c>
      <c r="T3" s="4">
        <v>4.6</v>
      </c>
      <c r="U3" s="3">
        <v>4</v>
      </c>
      <c r="V3" s="3">
        <v>6.8</v>
      </c>
      <c r="W3" s="3">
        <v>8.2</v>
      </c>
      <c r="X3" s="3">
        <f t="shared" si="8"/>
        <v>5.8999999999999995</v>
      </c>
      <c r="Y3" s="8">
        <v>45</v>
      </c>
      <c r="Z3" s="8">
        <f t="shared" si="9"/>
        <v>-4460</v>
      </c>
      <c r="AA3" s="8">
        <v>-4350</v>
      </c>
      <c r="AB3" s="10">
        <f t="shared" si="10"/>
        <v>0.026253241140881588</v>
      </c>
      <c r="AC3" s="11">
        <f t="shared" si="11"/>
        <v>1.4606741573033708</v>
      </c>
      <c r="AD3" s="7">
        <f t="shared" si="12"/>
        <v>158370428.8095053</v>
      </c>
      <c r="AE3" s="11">
        <f t="shared" si="13"/>
        <v>0.1583704288095053</v>
      </c>
    </row>
    <row r="4" spans="1:31" ht="11.25">
      <c r="A4" s="1" t="s">
        <v>174</v>
      </c>
      <c r="B4" s="7" t="s">
        <v>37</v>
      </c>
      <c r="C4" s="6">
        <v>-14.45616</v>
      </c>
      <c r="D4" s="6">
        <v>190.18179</v>
      </c>
      <c r="E4" s="6">
        <f t="shared" si="0"/>
        <v>10.181790000000007</v>
      </c>
      <c r="F4" s="6">
        <f t="shared" si="1"/>
        <v>-169.81821</v>
      </c>
      <c r="G4" s="7">
        <v>2140</v>
      </c>
      <c r="H4" s="7">
        <v>1580</v>
      </c>
      <c r="I4" s="7">
        <f t="shared" si="2"/>
        <v>2655588.267045</v>
      </c>
      <c r="J4" s="10">
        <f t="shared" si="3"/>
        <v>2.655588267045</v>
      </c>
      <c r="K4" s="7">
        <v>240</v>
      </c>
      <c r="L4" s="7">
        <v>70</v>
      </c>
      <c r="M4" s="7">
        <f t="shared" si="4"/>
        <v>13194.68913</v>
      </c>
      <c r="N4" s="10">
        <f t="shared" si="5"/>
        <v>0.013194689130000001</v>
      </c>
      <c r="O4" s="7">
        <v>120</v>
      </c>
      <c r="P4" s="7">
        <v>120</v>
      </c>
      <c r="Q4" s="7">
        <f t="shared" si="6"/>
        <v>120</v>
      </c>
      <c r="R4" s="11">
        <f>(46000/21158)</f>
        <v>2.174118536723698</v>
      </c>
      <c r="S4" s="10">
        <f t="shared" si="7"/>
        <v>0.7766233119245122</v>
      </c>
      <c r="T4" s="4">
        <v>8.1</v>
      </c>
      <c r="U4" s="5">
        <v>6.8</v>
      </c>
      <c r="V4" s="5">
        <v>14.8</v>
      </c>
      <c r="W4" s="5">
        <v>10.4</v>
      </c>
      <c r="X4" s="3">
        <f t="shared" si="8"/>
        <v>10.025</v>
      </c>
      <c r="Y4" s="9">
        <v>10</v>
      </c>
      <c r="Z4" s="8">
        <f t="shared" si="9"/>
        <v>-3370</v>
      </c>
      <c r="AA4" s="9">
        <v>-3250</v>
      </c>
      <c r="AB4" s="10">
        <f t="shared" si="10"/>
        <v>0.004968650183366852</v>
      </c>
      <c r="AC4" s="11">
        <f t="shared" si="11"/>
        <v>1.3544303797468353</v>
      </c>
      <c r="AD4" s="7">
        <f t="shared" si="12"/>
        <v>114238871.8278096</v>
      </c>
      <c r="AE4" s="11">
        <f t="shared" si="13"/>
        <v>0.1142388718278096</v>
      </c>
    </row>
    <row r="5" spans="1:31" ht="11.25">
      <c r="A5" s="1" t="s">
        <v>175</v>
      </c>
      <c r="B5" s="7" t="s">
        <v>38</v>
      </c>
      <c r="C5" s="6">
        <v>-13.661</v>
      </c>
      <c r="D5" s="6">
        <v>189.50165</v>
      </c>
      <c r="E5" s="6">
        <f t="shared" si="0"/>
        <v>9.501650000000012</v>
      </c>
      <c r="F5" s="6">
        <f t="shared" si="1"/>
        <v>-170.49835</v>
      </c>
      <c r="G5" s="7">
        <v>1530</v>
      </c>
      <c r="H5" s="7">
        <v>1420</v>
      </c>
      <c r="I5" s="7">
        <f t="shared" si="2"/>
        <v>1706356.0478475</v>
      </c>
      <c r="J5" s="10">
        <f t="shared" si="3"/>
        <v>1.7063560478475002</v>
      </c>
      <c r="K5" s="7">
        <v>240</v>
      </c>
      <c r="L5" s="7">
        <v>140</v>
      </c>
      <c r="M5" s="7">
        <f t="shared" si="4"/>
        <v>26389.37826</v>
      </c>
      <c r="N5" s="10">
        <f t="shared" si="5"/>
        <v>0.026389378260000002</v>
      </c>
      <c r="O5" s="7">
        <v>150</v>
      </c>
      <c r="P5" s="7">
        <v>120</v>
      </c>
      <c r="Q5" s="7">
        <f t="shared" si="6"/>
        <v>135</v>
      </c>
      <c r="R5" s="11">
        <f>(44000/21158)</f>
        <v>2.0795916438226674</v>
      </c>
      <c r="S5" s="10">
        <f t="shared" si="7"/>
        <v>0.7321715493536782</v>
      </c>
      <c r="T5" s="4">
        <v>10.6</v>
      </c>
      <c r="U5" s="5">
        <v>12.9</v>
      </c>
      <c r="V5" s="5">
        <v>7.1</v>
      </c>
      <c r="W5" s="5">
        <v>9.1</v>
      </c>
      <c r="X5" s="3">
        <f t="shared" si="8"/>
        <v>9.925</v>
      </c>
      <c r="Y5" s="9">
        <v>5</v>
      </c>
      <c r="Z5" s="8">
        <f t="shared" si="9"/>
        <v>-4555</v>
      </c>
      <c r="AA5" s="9">
        <v>-4420</v>
      </c>
      <c r="AB5" s="10">
        <f t="shared" si="10"/>
        <v>0.015465341066003866</v>
      </c>
      <c r="AC5" s="11">
        <f t="shared" si="11"/>
        <v>1.0774647887323943</v>
      </c>
      <c r="AD5" s="7">
        <f t="shared" si="12"/>
        <v>87522632.73163676</v>
      </c>
      <c r="AE5" s="11">
        <f t="shared" si="13"/>
        <v>0.08752263273163677</v>
      </c>
    </row>
    <row r="6" spans="1:31" ht="11.25">
      <c r="A6" s="1" t="s">
        <v>176</v>
      </c>
      <c r="B6" s="7" t="s">
        <v>39</v>
      </c>
      <c r="C6" s="6">
        <v>-13.85079</v>
      </c>
      <c r="D6" s="6">
        <v>191.36578</v>
      </c>
      <c r="E6" s="6">
        <f t="shared" si="0"/>
        <v>11.36578</v>
      </c>
      <c r="F6" s="6">
        <f t="shared" si="1"/>
        <v>-168.63422</v>
      </c>
      <c r="G6" s="7">
        <v>2150</v>
      </c>
      <c r="H6" s="7">
        <v>1770</v>
      </c>
      <c r="I6" s="7">
        <f t="shared" si="2"/>
        <v>2988832.70739375</v>
      </c>
      <c r="J6" s="10">
        <f t="shared" si="3"/>
        <v>2.98883270739375</v>
      </c>
      <c r="K6" s="7">
        <v>150</v>
      </c>
      <c r="L6" s="7">
        <v>130</v>
      </c>
      <c r="M6" s="7">
        <f t="shared" si="4"/>
        <v>15315.264168750002</v>
      </c>
      <c r="N6" s="10">
        <f t="shared" si="5"/>
        <v>0.015315264168750002</v>
      </c>
      <c r="O6" s="7">
        <v>140</v>
      </c>
      <c r="P6" s="7">
        <v>130</v>
      </c>
      <c r="Q6" s="7">
        <f t="shared" si="6"/>
        <v>135</v>
      </c>
      <c r="R6" s="11">
        <f>(44000/21158)</f>
        <v>2.0795916438226674</v>
      </c>
      <c r="S6" s="10">
        <f t="shared" si="7"/>
        <v>0.7321715493536782</v>
      </c>
      <c r="T6" s="4">
        <v>7.7</v>
      </c>
      <c r="U6" s="5">
        <v>7.3</v>
      </c>
      <c r="V6" s="5">
        <v>7.7</v>
      </c>
      <c r="W6" s="5">
        <v>11</v>
      </c>
      <c r="X6" s="3">
        <f t="shared" si="8"/>
        <v>8.425</v>
      </c>
      <c r="Y6" s="9">
        <v>160</v>
      </c>
      <c r="Z6" s="8">
        <f t="shared" si="9"/>
        <v>-5205</v>
      </c>
      <c r="AA6" s="9">
        <v>-5070</v>
      </c>
      <c r="AB6" s="10">
        <f t="shared" si="10"/>
        <v>0.005124162396531337</v>
      </c>
      <c r="AC6" s="11">
        <f t="shared" si="11"/>
        <v>1.2146892655367232</v>
      </c>
      <c r="AD6" s="7">
        <f t="shared" si="12"/>
        <v>144814425.54349738</v>
      </c>
      <c r="AE6" s="11">
        <f t="shared" si="13"/>
        <v>0.14481442554349738</v>
      </c>
    </row>
    <row r="7" spans="1:31" ht="11.25">
      <c r="A7" s="1" t="s">
        <v>177</v>
      </c>
      <c r="B7" s="7" t="s">
        <v>40</v>
      </c>
      <c r="C7" s="6">
        <v>-13.91595</v>
      </c>
      <c r="D7" s="6">
        <v>191.23218</v>
      </c>
      <c r="E7" s="6">
        <f t="shared" si="0"/>
        <v>11.23218</v>
      </c>
      <c r="F7" s="6">
        <f t="shared" si="1"/>
        <v>-168.76782</v>
      </c>
      <c r="G7" s="7">
        <v>2060</v>
      </c>
      <c r="H7" s="7">
        <v>1790</v>
      </c>
      <c r="I7" s="7">
        <f t="shared" si="2"/>
        <v>2896077.1844025003</v>
      </c>
      <c r="J7" s="10">
        <f t="shared" si="3"/>
        <v>2.8960771844025004</v>
      </c>
      <c r="K7" s="7">
        <v>210</v>
      </c>
      <c r="L7" s="7">
        <v>80</v>
      </c>
      <c r="M7" s="7">
        <f t="shared" si="4"/>
        <v>13194.68913</v>
      </c>
      <c r="N7" s="10">
        <f t="shared" si="5"/>
        <v>0.013194689130000001</v>
      </c>
      <c r="O7" s="7">
        <v>130</v>
      </c>
      <c r="P7" s="7">
        <v>160</v>
      </c>
      <c r="Q7" s="7">
        <f t="shared" si="6"/>
        <v>145</v>
      </c>
      <c r="R7" s="11">
        <f>(43000/21158)</f>
        <v>2.0323281973721525</v>
      </c>
      <c r="S7" s="10">
        <f t="shared" si="7"/>
        <v>0.7091820311289797</v>
      </c>
      <c r="T7" s="4">
        <v>8.4</v>
      </c>
      <c r="U7" s="5">
        <v>11.5</v>
      </c>
      <c r="V7" s="5">
        <v>7.7</v>
      </c>
      <c r="W7" s="5">
        <v>8.3</v>
      </c>
      <c r="X7" s="3">
        <f t="shared" si="8"/>
        <v>8.975</v>
      </c>
      <c r="Y7" s="9">
        <v>70</v>
      </c>
      <c r="Z7" s="8">
        <f t="shared" si="9"/>
        <v>-5165</v>
      </c>
      <c r="AA7" s="9">
        <v>-5020</v>
      </c>
      <c r="AB7" s="10">
        <f t="shared" si="10"/>
        <v>0.0045560557574442695</v>
      </c>
      <c r="AC7" s="11">
        <f t="shared" si="11"/>
        <v>1.1508379888268156</v>
      </c>
      <c r="AD7" s="7">
        <f t="shared" si="12"/>
        <v>150063057.6289808</v>
      </c>
      <c r="AE7" s="11">
        <f t="shared" si="13"/>
        <v>0.15006305762898078</v>
      </c>
    </row>
    <row r="8" spans="1:31" ht="11.25">
      <c r="A8" s="1" t="s">
        <v>178</v>
      </c>
      <c r="B8" s="7" t="s">
        <v>41</v>
      </c>
      <c r="C8" s="6">
        <v>-14.59628</v>
      </c>
      <c r="D8" s="6">
        <v>191.48378</v>
      </c>
      <c r="E8" s="6">
        <f t="shared" si="0"/>
        <v>11.483779999999996</v>
      </c>
      <c r="F8" s="6">
        <f t="shared" si="1"/>
        <v>-168.51622</v>
      </c>
      <c r="G8" s="7">
        <v>1920</v>
      </c>
      <c r="H8" s="7">
        <v>1650</v>
      </c>
      <c r="I8" s="7">
        <f t="shared" si="2"/>
        <v>2488141.3788</v>
      </c>
      <c r="J8" s="10">
        <f t="shared" si="3"/>
        <v>2.4881413788</v>
      </c>
      <c r="K8" s="7">
        <v>170</v>
      </c>
      <c r="L8" s="7">
        <v>130</v>
      </c>
      <c r="M8" s="7">
        <f t="shared" si="4"/>
        <v>17357.299391250002</v>
      </c>
      <c r="N8" s="10">
        <f t="shared" si="5"/>
        <v>0.01735729939125</v>
      </c>
      <c r="O8" s="7">
        <v>150</v>
      </c>
      <c r="P8" s="7">
        <v>150</v>
      </c>
      <c r="Q8" s="7">
        <f t="shared" si="6"/>
        <v>150</v>
      </c>
      <c r="R8" s="11">
        <f>(42000/21158)</f>
        <v>1.9850647509216373</v>
      </c>
      <c r="S8" s="10">
        <f t="shared" si="7"/>
        <v>0.6856515337187855</v>
      </c>
      <c r="T8" s="4">
        <v>10.9</v>
      </c>
      <c r="U8" s="5">
        <v>10.1</v>
      </c>
      <c r="V8" s="5">
        <v>9.5</v>
      </c>
      <c r="W8" s="5">
        <v>8.2</v>
      </c>
      <c r="X8" s="3">
        <f t="shared" si="8"/>
        <v>9.675</v>
      </c>
      <c r="Y8" s="9">
        <v>5</v>
      </c>
      <c r="Z8" s="8">
        <f t="shared" si="9"/>
        <v>-5030</v>
      </c>
      <c r="AA8" s="9">
        <v>-4880</v>
      </c>
      <c r="AB8" s="10">
        <f t="shared" si="10"/>
        <v>0.006976010101010102</v>
      </c>
      <c r="AC8" s="11">
        <f t="shared" si="11"/>
        <v>1.1636363636363636</v>
      </c>
      <c r="AD8" s="7">
        <f t="shared" si="12"/>
        <v>135665724.88517997</v>
      </c>
      <c r="AE8" s="11">
        <f t="shared" si="13"/>
        <v>0.13566572488517997</v>
      </c>
    </row>
    <row r="9" spans="1:31" ht="11.25">
      <c r="A9" s="1" t="s">
        <v>179</v>
      </c>
      <c r="B9" s="7" t="s">
        <v>42</v>
      </c>
      <c r="C9" s="6">
        <v>-14.72782</v>
      </c>
      <c r="D9" s="6">
        <v>189.27394</v>
      </c>
      <c r="E9" s="6">
        <f t="shared" si="0"/>
        <v>9.27394000000001</v>
      </c>
      <c r="F9" s="6">
        <f t="shared" si="1"/>
        <v>-170.72606</v>
      </c>
      <c r="G9" s="7">
        <v>2380</v>
      </c>
      <c r="H9" s="7">
        <v>1820</v>
      </c>
      <c r="I9" s="7">
        <f t="shared" si="2"/>
        <v>3402030.680685</v>
      </c>
      <c r="J9" s="10">
        <f t="shared" si="3"/>
        <v>3.402030680685</v>
      </c>
      <c r="K9" s="7">
        <v>250</v>
      </c>
      <c r="L9" s="7">
        <v>250</v>
      </c>
      <c r="M9" s="7">
        <f t="shared" si="4"/>
        <v>49087.385156250006</v>
      </c>
      <c r="N9" s="10">
        <f t="shared" si="5"/>
        <v>0.04908738515625</v>
      </c>
      <c r="O9" s="7">
        <v>150</v>
      </c>
      <c r="P9" s="7">
        <v>170</v>
      </c>
      <c r="Q9" s="7">
        <f t="shared" si="6"/>
        <v>160</v>
      </c>
      <c r="R9" s="11">
        <f>(41000/21158)</f>
        <v>1.937801304471122</v>
      </c>
      <c r="S9" s="10">
        <f t="shared" si="7"/>
        <v>0.6615539821397249</v>
      </c>
      <c r="T9" s="4">
        <v>11.6</v>
      </c>
      <c r="U9" s="5">
        <v>6.6</v>
      </c>
      <c r="V9" s="5">
        <v>13.6</v>
      </c>
      <c r="W9" s="5">
        <v>11.6</v>
      </c>
      <c r="X9" s="3">
        <f t="shared" si="8"/>
        <v>10.85</v>
      </c>
      <c r="Y9" s="9">
        <v>35</v>
      </c>
      <c r="Z9" s="8">
        <f t="shared" si="9"/>
        <v>-3730</v>
      </c>
      <c r="AA9" s="9">
        <v>-3570</v>
      </c>
      <c r="AB9" s="10">
        <f t="shared" si="10"/>
        <v>0.01442884846246191</v>
      </c>
      <c r="AC9" s="11">
        <f t="shared" si="11"/>
        <v>1.3076923076923077</v>
      </c>
      <c r="AD9" s="7">
        <f t="shared" si="12"/>
        <v>205854425.25665292</v>
      </c>
      <c r="AE9" s="11">
        <f t="shared" si="13"/>
        <v>0.20585442525665293</v>
      </c>
    </row>
    <row r="10" spans="1:31" ht="11.25">
      <c r="A10" s="1" t="s">
        <v>180</v>
      </c>
      <c r="B10" s="7" t="s">
        <v>43</v>
      </c>
      <c r="C10" s="6">
        <v>-15.12972</v>
      </c>
      <c r="D10" s="6">
        <v>189.03105</v>
      </c>
      <c r="E10" s="6">
        <f t="shared" si="0"/>
        <v>9.031049999999993</v>
      </c>
      <c r="F10" s="6">
        <f t="shared" si="1"/>
        <v>-170.96895</v>
      </c>
      <c r="G10" s="7">
        <v>2310</v>
      </c>
      <c r="H10" s="7">
        <v>1920</v>
      </c>
      <c r="I10" s="7">
        <f t="shared" si="2"/>
        <v>3483397.9303200003</v>
      </c>
      <c r="J10" s="10">
        <f t="shared" si="3"/>
        <v>3.4833979303200002</v>
      </c>
      <c r="K10" s="7">
        <v>290</v>
      </c>
      <c r="L10" s="7">
        <v>250</v>
      </c>
      <c r="M10" s="7">
        <f t="shared" si="4"/>
        <v>56941.366781250006</v>
      </c>
      <c r="N10" s="10">
        <f t="shared" si="5"/>
        <v>0.05694136678125001</v>
      </c>
      <c r="O10" s="7">
        <v>170</v>
      </c>
      <c r="P10" s="7">
        <v>160</v>
      </c>
      <c r="Q10" s="7">
        <f t="shared" si="6"/>
        <v>165</v>
      </c>
      <c r="R10" s="11">
        <f>(40000/21158)</f>
        <v>1.890537858020607</v>
      </c>
      <c r="S10" s="10">
        <f t="shared" si="7"/>
        <v>0.6368613695493535</v>
      </c>
      <c r="T10" s="4">
        <v>7.6</v>
      </c>
      <c r="U10" s="3">
        <v>8.5</v>
      </c>
      <c r="V10" s="3">
        <v>8.5</v>
      </c>
      <c r="W10" s="3">
        <v>9</v>
      </c>
      <c r="X10" s="3">
        <f t="shared" si="8"/>
        <v>8.4</v>
      </c>
      <c r="Y10" s="8">
        <v>85</v>
      </c>
      <c r="Z10" s="8">
        <f t="shared" si="9"/>
        <v>-4485</v>
      </c>
      <c r="AA10" s="8">
        <v>-4320</v>
      </c>
      <c r="AB10" s="10">
        <f t="shared" si="10"/>
        <v>0.016346500721500724</v>
      </c>
      <c r="AC10" s="11">
        <f t="shared" si="11"/>
        <v>1.203125</v>
      </c>
      <c r="AD10" s="7">
        <f t="shared" si="12"/>
        <v>219213702.7482921</v>
      </c>
      <c r="AE10" s="11">
        <f t="shared" si="13"/>
        <v>0.21921370274829208</v>
      </c>
    </row>
    <row r="11" spans="1:31" ht="11.25">
      <c r="A11" s="1" t="s">
        <v>181</v>
      </c>
      <c r="B11" s="7" t="s">
        <v>44</v>
      </c>
      <c r="C11" s="6">
        <v>-14.36949</v>
      </c>
      <c r="D11" s="6">
        <v>191.25011</v>
      </c>
      <c r="E11" s="6">
        <f t="shared" si="0"/>
        <v>11.250110000000006</v>
      </c>
      <c r="F11" s="6">
        <f t="shared" si="1"/>
        <v>-168.74989</v>
      </c>
      <c r="G11" s="7">
        <v>2100</v>
      </c>
      <c r="H11" s="7">
        <v>2090</v>
      </c>
      <c r="I11" s="7">
        <f t="shared" si="2"/>
        <v>3447112.5352125</v>
      </c>
      <c r="J11" s="10">
        <f t="shared" si="3"/>
        <v>3.4471125352125</v>
      </c>
      <c r="K11" s="7">
        <v>170</v>
      </c>
      <c r="L11" s="7">
        <v>170</v>
      </c>
      <c r="M11" s="7">
        <f t="shared" si="4"/>
        <v>22698.00689625</v>
      </c>
      <c r="N11" s="10">
        <f t="shared" si="5"/>
        <v>0.02269800689625</v>
      </c>
      <c r="O11" s="7">
        <v>190</v>
      </c>
      <c r="P11" s="7">
        <v>200</v>
      </c>
      <c r="Q11" s="7">
        <f t="shared" si="6"/>
        <v>195</v>
      </c>
      <c r="R11" s="11">
        <f>(39000/21158)</f>
        <v>1.8432744115700916</v>
      </c>
      <c r="S11" s="10">
        <f t="shared" si="7"/>
        <v>0.6115435615650636</v>
      </c>
      <c r="T11" s="4">
        <v>9.9</v>
      </c>
      <c r="U11" s="5">
        <v>11.7</v>
      </c>
      <c r="V11" s="5">
        <v>12.2</v>
      </c>
      <c r="W11" s="5">
        <v>9.8</v>
      </c>
      <c r="X11" s="3">
        <f t="shared" si="8"/>
        <v>10.899999999999999</v>
      </c>
      <c r="Y11" s="9">
        <v>20</v>
      </c>
      <c r="Z11" s="8">
        <f t="shared" si="9"/>
        <v>-4935</v>
      </c>
      <c r="AA11" s="9">
        <v>-4740</v>
      </c>
      <c r="AB11" s="10">
        <f t="shared" si="10"/>
        <v>0.0065846434267486905</v>
      </c>
      <c r="AC11" s="11">
        <f t="shared" si="11"/>
        <v>1.0047846889952152</v>
      </c>
      <c r="AD11" s="7">
        <f t="shared" si="12"/>
        <v>243719404.56740996</v>
      </c>
      <c r="AE11" s="11">
        <f t="shared" si="13"/>
        <v>0.24371940456740995</v>
      </c>
    </row>
    <row r="12" spans="1:31" ht="11.25">
      <c r="A12" s="1" t="s">
        <v>182</v>
      </c>
      <c r="B12" s="7" t="s">
        <v>46</v>
      </c>
      <c r="C12" s="6">
        <v>-14.25079</v>
      </c>
      <c r="D12" s="6">
        <v>189.7505</v>
      </c>
      <c r="E12" s="6">
        <f t="shared" si="0"/>
        <v>9.750499999999988</v>
      </c>
      <c r="F12" s="6">
        <f t="shared" si="1"/>
        <v>-170.2495</v>
      </c>
      <c r="G12" s="7">
        <v>1930</v>
      </c>
      <c r="H12" s="7">
        <v>1800</v>
      </c>
      <c r="I12" s="7">
        <f t="shared" si="2"/>
        <v>2728473.216525</v>
      </c>
      <c r="J12" s="10">
        <f t="shared" si="3"/>
        <v>2.728473216525</v>
      </c>
      <c r="K12" s="7">
        <v>70</v>
      </c>
      <c r="L12" s="7">
        <v>80</v>
      </c>
      <c r="M12" s="7">
        <f t="shared" si="4"/>
        <v>4398.2297100000005</v>
      </c>
      <c r="N12" s="10">
        <f t="shared" si="5"/>
        <v>0.004398229710000001</v>
      </c>
      <c r="O12" s="7">
        <v>210</v>
      </c>
      <c r="P12" s="7">
        <v>220</v>
      </c>
      <c r="Q12" s="7">
        <f t="shared" si="6"/>
        <v>215</v>
      </c>
      <c r="R12" s="11">
        <f>(37000/21158)</f>
        <v>1.7487475186690613</v>
      </c>
      <c r="S12" s="10">
        <f t="shared" si="7"/>
        <v>0.5588998280796416</v>
      </c>
      <c r="T12" s="4">
        <v>13.4</v>
      </c>
      <c r="U12" s="5">
        <v>10.7</v>
      </c>
      <c r="V12" s="5">
        <v>15.3</v>
      </c>
      <c r="W12" s="5">
        <v>12.5</v>
      </c>
      <c r="X12" s="3">
        <f t="shared" si="8"/>
        <v>12.975000000000001</v>
      </c>
      <c r="Y12" s="9">
        <v>75</v>
      </c>
      <c r="Z12" s="8">
        <f t="shared" si="9"/>
        <v>-2995</v>
      </c>
      <c r="AA12" s="9">
        <v>-2780</v>
      </c>
      <c r="AB12" s="10">
        <f t="shared" si="10"/>
        <v>0.0016119746689694878</v>
      </c>
      <c r="AC12" s="11">
        <f t="shared" si="11"/>
        <v>1.0722222222222222</v>
      </c>
      <c r="AD12" s="7">
        <f t="shared" si="12"/>
        <v>203706624.81252983</v>
      </c>
      <c r="AE12" s="11">
        <f t="shared" si="13"/>
        <v>0.20370662481252982</v>
      </c>
    </row>
    <row r="13" spans="1:31" ht="11.25">
      <c r="A13" s="1" t="s">
        <v>183</v>
      </c>
      <c r="B13" s="7" t="s">
        <v>45</v>
      </c>
      <c r="C13" s="6">
        <v>-14.53771</v>
      </c>
      <c r="D13" s="6">
        <v>189.30945</v>
      </c>
      <c r="E13" s="6">
        <f t="shared" si="0"/>
        <v>9.309449999999998</v>
      </c>
      <c r="F13" s="6">
        <f t="shared" si="1"/>
        <v>-170.69055</v>
      </c>
      <c r="G13" s="7">
        <v>2250</v>
      </c>
      <c r="H13" s="7">
        <v>2130</v>
      </c>
      <c r="I13" s="7">
        <f t="shared" si="2"/>
        <v>3764020.69378125</v>
      </c>
      <c r="J13" s="10">
        <f t="shared" si="3"/>
        <v>3.76402069378125</v>
      </c>
      <c r="K13" s="7">
        <v>220</v>
      </c>
      <c r="L13" s="7">
        <v>190</v>
      </c>
      <c r="M13" s="7">
        <f t="shared" si="4"/>
        <v>32829.6431925</v>
      </c>
      <c r="N13" s="10">
        <f t="shared" si="5"/>
        <v>0.0328296431925</v>
      </c>
      <c r="O13" s="7">
        <v>220</v>
      </c>
      <c r="P13" s="7">
        <v>210</v>
      </c>
      <c r="Q13" s="7">
        <f t="shared" si="6"/>
        <v>215</v>
      </c>
      <c r="R13" s="11">
        <f>(37000/21158)</f>
        <v>1.7487475186690613</v>
      </c>
      <c r="S13" s="10">
        <f t="shared" si="7"/>
        <v>0.5588998280796416</v>
      </c>
      <c r="T13" s="4">
        <v>13.2</v>
      </c>
      <c r="U13" s="5">
        <v>10.1</v>
      </c>
      <c r="V13" s="5">
        <v>11.3</v>
      </c>
      <c r="W13" s="5">
        <v>11.6</v>
      </c>
      <c r="X13" s="3">
        <f t="shared" si="8"/>
        <v>11.549999999999999</v>
      </c>
      <c r="Y13" s="9">
        <v>5</v>
      </c>
      <c r="Z13" s="8">
        <f t="shared" si="9"/>
        <v>-3275</v>
      </c>
      <c r="AA13" s="9">
        <v>-3060</v>
      </c>
      <c r="AB13" s="10">
        <f t="shared" si="10"/>
        <v>0.008721961398017735</v>
      </c>
      <c r="AC13" s="11">
        <f t="shared" si="11"/>
        <v>1.056338028169014</v>
      </c>
      <c r="AD13" s="7">
        <f t="shared" si="12"/>
        <v>297300398.7130519</v>
      </c>
      <c r="AE13" s="11">
        <f t="shared" si="13"/>
        <v>0.2973003987130519</v>
      </c>
    </row>
    <row r="14" spans="1:31" ht="11.25">
      <c r="A14" s="1" t="s">
        <v>184</v>
      </c>
      <c r="B14" s="7" t="s">
        <v>47</v>
      </c>
      <c r="C14" s="6">
        <v>-14.42799</v>
      </c>
      <c r="D14" s="6">
        <v>190.2436</v>
      </c>
      <c r="E14" s="6">
        <f t="shared" si="0"/>
        <v>10.243599999999986</v>
      </c>
      <c r="F14" s="6">
        <f t="shared" si="1"/>
        <v>-169.7564</v>
      </c>
      <c r="G14" s="7">
        <v>6340</v>
      </c>
      <c r="H14" s="7">
        <v>4030</v>
      </c>
      <c r="I14" s="7">
        <f t="shared" si="2"/>
        <v>20067080.1315075</v>
      </c>
      <c r="J14" s="10">
        <f t="shared" si="3"/>
        <v>20.067080131507502</v>
      </c>
      <c r="K14" s="7">
        <v>2350</v>
      </c>
      <c r="L14" s="7">
        <v>1110</v>
      </c>
      <c r="M14" s="7">
        <f t="shared" si="4"/>
        <v>2048711.1068812502</v>
      </c>
      <c r="N14" s="10">
        <f t="shared" si="5"/>
        <v>2.04871110688125</v>
      </c>
      <c r="O14" s="7">
        <v>210</v>
      </c>
      <c r="P14" s="7">
        <v>230</v>
      </c>
      <c r="Q14" s="7">
        <f t="shared" si="6"/>
        <v>220</v>
      </c>
      <c r="R14" s="11">
        <f>(36000/21158)</f>
        <v>1.7014840722185463</v>
      </c>
      <c r="S14" s="10">
        <f t="shared" si="7"/>
        <v>0.5315008538915272</v>
      </c>
      <c r="T14" s="4">
        <v>4.4</v>
      </c>
      <c r="U14" s="5">
        <v>7.2</v>
      </c>
      <c r="V14" s="5">
        <v>7.9</v>
      </c>
      <c r="W14" s="5">
        <v>8</v>
      </c>
      <c r="X14" s="3">
        <f t="shared" si="8"/>
        <v>6.875</v>
      </c>
      <c r="Y14" s="9">
        <v>70</v>
      </c>
      <c r="Z14" s="8">
        <f t="shared" si="9"/>
        <v>-3360</v>
      </c>
      <c r="AA14" s="9">
        <v>-3140</v>
      </c>
      <c r="AB14" s="10">
        <f t="shared" si="10"/>
        <v>0.10209313430031859</v>
      </c>
      <c r="AC14" s="11">
        <f t="shared" si="11"/>
        <v>1.5732009925558312</v>
      </c>
      <c r="AD14" s="7">
        <f t="shared" si="12"/>
        <v>2092026049.2762568</v>
      </c>
      <c r="AE14" s="11">
        <f t="shared" si="13"/>
        <v>2.092026049276257</v>
      </c>
    </row>
    <row r="15" spans="1:31" ht="11.25">
      <c r="A15" s="1" t="s">
        <v>185</v>
      </c>
      <c r="B15" s="7" t="s">
        <v>48</v>
      </c>
      <c r="C15" s="6">
        <v>-13.91661</v>
      </c>
      <c r="D15" s="6">
        <v>189.61658</v>
      </c>
      <c r="E15" s="6">
        <f t="shared" si="0"/>
        <v>9.616579999999999</v>
      </c>
      <c r="F15" s="6">
        <f t="shared" si="1"/>
        <v>-170.38342</v>
      </c>
      <c r="G15" s="7">
        <v>2920</v>
      </c>
      <c r="H15" s="7">
        <v>2460</v>
      </c>
      <c r="I15" s="7">
        <f t="shared" si="2"/>
        <v>5641672.080870001</v>
      </c>
      <c r="J15" s="10">
        <f t="shared" si="3"/>
        <v>5.64167208087</v>
      </c>
      <c r="K15" s="7">
        <v>210</v>
      </c>
      <c r="L15" s="7">
        <v>140</v>
      </c>
      <c r="M15" s="7">
        <f t="shared" si="4"/>
        <v>23090.7059775</v>
      </c>
      <c r="N15" s="10">
        <f t="shared" si="5"/>
        <v>0.0230907059775</v>
      </c>
      <c r="O15" s="7">
        <v>260</v>
      </c>
      <c r="P15" s="7">
        <v>200</v>
      </c>
      <c r="Q15" s="7">
        <f t="shared" si="6"/>
        <v>230</v>
      </c>
      <c r="R15" s="11">
        <f>(35000/21158)</f>
        <v>1.654220625768031</v>
      </c>
      <c r="S15" s="10">
        <f t="shared" si="7"/>
        <v>0.5033299769248308</v>
      </c>
      <c r="T15" s="4">
        <v>12.2</v>
      </c>
      <c r="U15" s="5">
        <v>11.6</v>
      </c>
      <c r="V15" s="5">
        <v>8</v>
      </c>
      <c r="W15" s="5">
        <v>8.8</v>
      </c>
      <c r="X15" s="3">
        <f t="shared" si="8"/>
        <v>10.149999999999999</v>
      </c>
      <c r="Y15" s="9">
        <v>85</v>
      </c>
      <c r="Z15" s="8">
        <f t="shared" si="9"/>
        <v>-3970</v>
      </c>
      <c r="AA15" s="9">
        <v>-3740</v>
      </c>
      <c r="AB15" s="10">
        <f t="shared" si="10"/>
        <v>0.00409288339458737</v>
      </c>
      <c r="AC15" s="11">
        <f t="shared" si="11"/>
        <v>1.1869918699186992</v>
      </c>
      <c r="AD15" s="7">
        <f t="shared" si="12"/>
        <v>461969751.26041037</v>
      </c>
      <c r="AE15" s="11">
        <f t="shared" si="13"/>
        <v>0.46196975126041034</v>
      </c>
    </row>
    <row r="16" spans="1:31" ht="11.25">
      <c r="A16" s="1" t="s">
        <v>186</v>
      </c>
      <c r="B16" s="7" t="s">
        <v>49</v>
      </c>
      <c r="C16" s="6">
        <v>-14.40115</v>
      </c>
      <c r="D16" s="6">
        <v>190.2147</v>
      </c>
      <c r="E16" s="6">
        <f t="shared" si="0"/>
        <v>10.214699999999993</v>
      </c>
      <c r="F16" s="6">
        <f t="shared" si="1"/>
        <v>-169.7853</v>
      </c>
      <c r="G16" s="7">
        <v>2890</v>
      </c>
      <c r="H16" s="7">
        <v>2440</v>
      </c>
      <c r="I16" s="7">
        <f t="shared" si="2"/>
        <v>5538313.682685001</v>
      </c>
      <c r="J16" s="10">
        <f t="shared" si="3"/>
        <v>5.538313682685001</v>
      </c>
      <c r="K16" s="7">
        <v>200</v>
      </c>
      <c r="L16" s="7">
        <v>320</v>
      </c>
      <c r="M16" s="7">
        <f t="shared" si="4"/>
        <v>50265.4824</v>
      </c>
      <c r="N16" s="10">
        <f t="shared" si="5"/>
        <v>0.0502654824</v>
      </c>
      <c r="O16" s="7">
        <v>280</v>
      </c>
      <c r="P16" s="7">
        <v>190</v>
      </c>
      <c r="Q16" s="7">
        <f t="shared" si="6"/>
        <v>235</v>
      </c>
      <c r="R16" s="11">
        <f>(34000/21158)</f>
        <v>1.606957179317516</v>
      </c>
      <c r="S16" s="10">
        <f t="shared" si="7"/>
        <v>0.4743424400515786</v>
      </c>
      <c r="T16" s="4">
        <v>11.9</v>
      </c>
      <c r="U16" s="5">
        <v>8</v>
      </c>
      <c r="V16" s="5">
        <v>12.1</v>
      </c>
      <c r="W16" s="5">
        <v>8</v>
      </c>
      <c r="X16" s="3">
        <f t="shared" si="8"/>
        <v>10</v>
      </c>
      <c r="Y16" s="9">
        <v>120</v>
      </c>
      <c r="Z16" s="8">
        <f t="shared" si="9"/>
        <v>-3385</v>
      </c>
      <c r="AA16" s="9">
        <v>-3150</v>
      </c>
      <c r="AB16" s="10">
        <f t="shared" si="10"/>
        <v>0.009075954393329172</v>
      </c>
      <c r="AC16" s="11">
        <f t="shared" si="11"/>
        <v>1.1844262295081966</v>
      </c>
      <c r="AD16" s="7">
        <f t="shared" si="12"/>
        <v>479102501.3589493</v>
      </c>
      <c r="AE16" s="11">
        <f t="shared" si="13"/>
        <v>0.47910250135894933</v>
      </c>
    </row>
    <row r="17" spans="1:31" ht="11.25">
      <c r="A17" s="1" t="s">
        <v>187</v>
      </c>
      <c r="B17" s="7" t="s">
        <v>50</v>
      </c>
      <c r="C17" s="6">
        <v>-14.65214</v>
      </c>
      <c r="D17" s="6">
        <v>191.20155</v>
      </c>
      <c r="E17" s="6">
        <f t="shared" si="0"/>
        <v>11.201549999999997</v>
      </c>
      <c r="F17" s="6">
        <f t="shared" si="1"/>
        <v>-168.79845</v>
      </c>
      <c r="G17" s="7">
        <v>2480</v>
      </c>
      <c r="H17" s="7">
        <v>2110</v>
      </c>
      <c r="I17" s="7">
        <f t="shared" si="2"/>
        <v>4109831.50473</v>
      </c>
      <c r="J17" s="10">
        <f t="shared" si="3"/>
        <v>4.10983150473</v>
      </c>
      <c r="K17" s="7">
        <v>60</v>
      </c>
      <c r="L17" s="7">
        <v>130</v>
      </c>
      <c r="M17" s="7">
        <f t="shared" si="4"/>
        <v>6126.1056675</v>
      </c>
      <c r="N17" s="10">
        <f t="shared" si="5"/>
        <v>0.0061261056675</v>
      </c>
      <c r="O17" s="7">
        <v>270</v>
      </c>
      <c r="P17" s="7">
        <v>260</v>
      </c>
      <c r="Q17" s="7">
        <f t="shared" si="6"/>
        <v>265</v>
      </c>
      <c r="R17" s="11">
        <f>(33000/21158)</f>
        <v>1.5596937328670006</v>
      </c>
      <c r="S17" s="10">
        <f t="shared" si="7"/>
        <v>0.4444894769018974</v>
      </c>
      <c r="T17" s="4">
        <v>10.8</v>
      </c>
      <c r="U17" s="5">
        <v>12.6</v>
      </c>
      <c r="V17" s="5">
        <v>14.9</v>
      </c>
      <c r="W17" s="5">
        <v>13.6</v>
      </c>
      <c r="X17" s="3">
        <f t="shared" si="8"/>
        <v>12.975</v>
      </c>
      <c r="Y17" s="9">
        <v>115</v>
      </c>
      <c r="Z17" s="8">
        <f t="shared" si="9"/>
        <v>-5005</v>
      </c>
      <c r="AA17" s="9">
        <v>-4740</v>
      </c>
      <c r="AB17" s="10">
        <f t="shared" si="10"/>
        <v>0.0014905977679253936</v>
      </c>
      <c r="AC17" s="11">
        <f t="shared" si="11"/>
        <v>1.1753554502369667</v>
      </c>
      <c r="AD17" s="7">
        <f t="shared" si="12"/>
        <v>377592409.87268883</v>
      </c>
      <c r="AE17" s="11">
        <f t="shared" si="13"/>
        <v>0.37759240987268883</v>
      </c>
    </row>
    <row r="18" spans="1:31" ht="11.25">
      <c r="A18" s="1" t="s">
        <v>188</v>
      </c>
      <c r="B18" s="7" t="s">
        <v>51</v>
      </c>
      <c r="C18" s="6">
        <v>-14.56384</v>
      </c>
      <c r="D18" s="6">
        <v>191.43904</v>
      </c>
      <c r="E18" s="6">
        <f t="shared" si="0"/>
        <v>11.439040000000006</v>
      </c>
      <c r="F18" s="6">
        <f t="shared" si="1"/>
        <v>-168.56096</v>
      </c>
      <c r="G18" s="7">
        <v>2230</v>
      </c>
      <c r="H18" s="7">
        <v>1840</v>
      </c>
      <c r="I18" s="7">
        <f t="shared" si="2"/>
        <v>3222645.7403700002</v>
      </c>
      <c r="J18" s="10">
        <f t="shared" si="3"/>
        <v>3.2226457403700004</v>
      </c>
      <c r="K18" s="7">
        <v>280</v>
      </c>
      <c r="L18" s="7">
        <v>100</v>
      </c>
      <c r="M18" s="7">
        <f t="shared" si="4"/>
        <v>21991.14855</v>
      </c>
      <c r="N18" s="10">
        <f t="shared" si="5"/>
        <v>0.021991148550000002</v>
      </c>
      <c r="O18" s="7">
        <v>270</v>
      </c>
      <c r="P18" s="7">
        <v>270</v>
      </c>
      <c r="Q18" s="7">
        <f t="shared" si="6"/>
        <v>270</v>
      </c>
      <c r="R18" s="11">
        <f>(32000/21158)</f>
        <v>1.5124302864164856</v>
      </c>
      <c r="S18" s="10">
        <f t="shared" si="7"/>
        <v>0.4137178182351438</v>
      </c>
      <c r="T18" s="4">
        <v>16.5</v>
      </c>
      <c r="U18" s="5">
        <v>11.9</v>
      </c>
      <c r="V18" s="5">
        <v>15.3</v>
      </c>
      <c r="W18" s="5">
        <v>18.8</v>
      </c>
      <c r="X18" s="3">
        <f t="shared" si="8"/>
        <v>15.625</v>
      </c>
      <c r="Y18" s="9">
        <v>165</v>
      </c>
      <c r="Z18" s="8">
        <f t="shared" si="9"/>
        <v>-4960</v>
      </c>
      <c r="AA18" s="9">
        <v>-4690</v>
      </c>
      <c r="AB18" s="10">
        <f t="shared" si="10"/>
        <v>0.006823942288945214</v>
      </c>
      <c r="AC18" s="11">
        <f t="shared" si="11"/>
        <v>1.2119565217391304</v>
      </c>
      <c r="AD18" s="7">
        <f t="shared" si="12"/>
        <v>315976544.0662805</v>
      </c>
      <c r="AE18" s="11">
        <f t="shared" si="13"/>
        <v>0.3159765440662805</v>
      </c>
    </row>
    <row r="19" spans="1:31" ht="11.25">
      <c r="A19" s="1" t="s">
        <v>189</v>
      </c>
      <c r="B19" s="7" t="s">
        <v>52</v>
      </c>
      <c r="C19" s="6">
        <v>-13.99554</v>
      </c>
      <c r="D19" s="6">
        <v>189.22116</v>
      </c>
      <c r="E19" s="6">
        <f t="shared" si="0"/>
        <v>9.221159999999998</v>
      </c>
      <c r="F19" s="6">
        <f t="shared" si="1"/>
        <v>-170.77884</v>
      </c>
      <c r="G19" s="7">
        <v>3690</v>
      </c>
      <c r="H19" s="7">
        <v>1760</v>
      </c>
      <c r="I19" s="7">
        <f t="shared" si="2"/>
        <v>5100689.826540001</v>
      </c>
      <c r="J19" s="10">
        <f t="shared" si="3"/>
        <v>5.100689826540001</v>
      </c>
      <c r="K19" s="7">
        <v>420</v>
      </c>
      <c r="L19" s="7">
        <v>260</v>
      </c>
      <c r="M19" s="7">
        <f t="shared" si="4"/>
        <v>85765.479345</v>
      </c>
      <c r="N19" s="10">
        <f t="shared" si="5"/>
        <v>0.085765479345</v>
      </c>
      <c r="O19" s="7">
        <v>280</v>
      </c>
      <c r="P19" s="7">
        <v>280</v>
      </c>
      <c r="Q19" s="7">
        <f t="shared" si="6"/>
        <v>280</v>
      </c>
      <c r="R19" s="11">
        <f>(30000/21158)</f>
        <v>1.4179033935154552</v>
      </c>
      <c r="S19" s="10">
        <f t="shared" si="7"/>
        <v>0.3491792970975726</v>
      </c>
      <c r="T19" s="4">
        <v>7.6</v>
      </c>
      <c r="U19" s="5">
        <v>9.8</v>
      </c>
      <c r="V19" s="5">
        <v>17.2</v>
      </c>
      <c r="W19" s="5">
        <v>14.4</v>
      </c>
      <c r="X19" s="3">
        <f t="shared" si="8"/>
        <v>12.249999999999998</v>
      </c>
      <c r="Y19" s="9">
        <v>5</v>
      </c>
      <c r="Z19" s="8">
        <f t="shared" si="9"/>
        <v>-3800</v>
      </c>
      <c r="AA19" s="9">
        <v>-3520</v>
      </c>
      <c r="AB19" s="10">
        <f t="shared" si="10"/>
        <v>0.016814486326681446</v>
      </c>
      <c r="AC19" s="11">
        <f t="shared" si="11"/>
        <v>2.096590909090909</v>
      </c>
      <c r="AD19" s="7">
        <f t="shared" si="12"/>
        <v>545800756.2284527</v>
      </c>
      <c r="AE19" s="11">
        <f t="shared" si="13"/>
        <v>0.5458007562284527</v>
      </c>
    </row>
    <row r="20" spans="1:31" ht="11.25">
      <c r="A20" s="1" t="s">
        <v>190</v>
      </c>
      <c r="B20" s="7" t="s">
        <v>53</v>
      </c>
      <c r="C20" s="6">
        <v>-14.01831</v>
      </c>
      <c r="D20" s="6">
        <v>191.08168</v>
      </c>
      <c r="E20" s="6">
        <f t="shared" si="0"/>
        <v>11.081680000000006</v>
      </c>
      <c r="F20" s="6">
        <f t="shared" si="1"/>
        <v>-168.91832</v>
      </c>
      <c r="G20" s="7">
        <v>3990</v>
      </c>
      <c r="H20" s="7">
        <v>1900</v>
      </c>
      <c r="I20" s="7">
        <f t="shared" si="2"/>
        <v>5954103.4699125</v>
      </c>
      <c r="J20" s="10">
        <f t="shared" si="3"/>
        <v>5.9541034699125</v>
      </c>
      <c r="K20" s="7">
        <v>660</v>
      </c>
      <c r="L20" s="7">
        <v>80</v>
      </c>
      <c r="M20" s="7">
        <f t="shared" si="4"/>
        <v>41469.02298</v>
      </c>
      <c r="N20" s="10">
        <f t="shared" si="5"/>
        <v>0.04146902298</v>
      </c>
      <c r="O20" s="7">
        <v>290</v>
      </c>
      <c r="P20" s="7">
        <v>270</v>
      </c>
      <c r="Q20" s="7">
        <f t="shared" si="6"/>
        <v>280</v>
      </c>
      <c r="R20" s="11">
        <f>(30000/21158)</f>
        <v>1.4179033935154552</v>
      </c>
      <c r="S20" s="10">
        <f t="shared" si="7"/>
        <v>0.3491792970975726</v>
      </c>
      <c r="T20" s="4">
        <v>8.2</v>
      </c>
      <c r="U20" s="5">
        <v>11.8</v>
      </c>
      <c r="V20" s="5">
        <v>15.8</v>
      </c>
      <c r="W20" s="5">
        <v>13.6</v>
      </c>
      <c r="X20" s="3">
        <f t="shared" si="8"/>
        <v>12.35</v>
      </c>
      <c r="Y20" s="9">
        <v>0</v>
      </c>
      <c r="Z20" s="8">
        <f t="shared" si="9"/>
        <v>-4940</v>
      </c>
      <c r="AA20" s="9">
        <v>-4660</v>
      </c>
      <c r="AB20" s="10">
        <f t="shared" si="10"/>
        <v>0.006964780371982588</v>
      </c>
      <c r="AC20" s="11">
        <f t="shared" si="11"/>
        <v>2.1</v>
      </c>
      <c r="AD20" s="7">
        <f t="shared" si="12"/>
        <v>605964216.1317327</v>
      </c>
      <c r="AE20" s="11">
        <f t="shared" si="13"/>
        <v>0.6059642161317327</v>
      </c>
    </row>
    <row r="21" spans="1:31" ht="11.25">
      <c r="A21" s="1" t="s">
        <v>191</v>
      </c>
      <c r="B21" s="7" t="s">
        <v>54</v>
      </c>
      <c r="C21" s="6">
        <v>-14.37106</v>
      </c>
      <c r="D21" s="6">
        <v>190.20828</v>
      </c>
      <c r="E21" s="6">
        <f t="shared" si="0"/>
        <v>10.208280000000002</v>
      </c>
      <c r="F21" s="6">
        <f t="shared" si="1"/>
        <v>-169.79172</v>
      </c>
      <c r="G21" s="7">
        <v>2720</v>
      </c>
      <c r="H21" s="7">
        <v>2400</v>
      </c>
      <c r="I21" s="7">
        <f t="shared" si="2"/>
        <v>5127079.2048</v>
      </c>
      <c r="J21" s="10">
        <f t="shared" si="3"/>
        <v>5.1270792048</v>
      </c>
      <c r="K21" s="7">
        <v>240</v>
      </c>
      <c r="L21" s="7">
        <v>120</v>
      </c>
      <c r="M21" s="7">
        <f t="shared" si="4"/>
        <v>22619.467080000002</v>
      </c>
      <c r="N21" s="10">
        <f t="shared" si="5"/>
        <v>0.022619467080000004</v>
      </c>
      <c r="O21" s="7">
        <v>310</v>
      </c>
      <c r="P21" s="7">
        <v>270</v>
      </c>
      <c r="Q21" s="7">
        <f t="shared" si="6"/>
        <v>290</v>
      </c>
      <c r="R21" s="11">
        <f>(28000/21158)</f>
        <v>1.323376500614425</v>
      </c>
      <c r="S21" s="10">
        <f t="shared" si="7"/>
        <v>0.2801864256106212</v>
      </c>
      <c r="T21" s="4">
        <v>14.4</v>
      </c>
      <c r="U21" s="5">
        <v>11.9</v>
      </c>
      <c r="V21" s="5">
        <v>14.1</v>
      </c>
      <c r="W21" s="5">
        <v>11.4</v>
      </c>
      <c r="X21" s="3">
        <f t="shared" si="8"/>
        <v>12.95</v>
      </c>
      <c r="Y21" s="9">
        <v>0</v>
      </c>
      <c r="Z21" s="8">
        <f t="shared" si="9"/>
        <v>-3290</v>
      </c>
      <c r="AA21" s="9">
        <v>-3000</v>
      </c>
      <c r="AB21" s="10">
        <f t="shared" si="10"/>
        <v>0.004411764705882353</v>
      </c>
      <c r="AC21" s="11">
        <f t="shared" si="11"/>
        <v>1.1333333333333333</v>
      </c>
      <c r="AD21" s="7">
        <f t="shared" si="12"/>
        <v>530723683.0059762</v>
      </c>
      <c r="AE21" s="11">
        <f t="shared" si="13"/>
        <v>0.5307236830059762</v>
      </c>
    </row>
    <row r="22" spans="1:31" ht="11.25">
      <c r="A22" s="1" t="s">
        <v>192</v>
      </c>
      <c r="B22" s="7" t="s">
        <v>55</v>
      </c>
      <c r="C22" s="6">
        <v>-14.55249</v>
      </c>
      <c r="D22" s="6">
        <v>191.5197</v>
      </c>
      <c r="E22" s="6">
        <f t="shared" si="0"/>
        <v>11.5197</v>
      </c>
      <c r="F22" s="6">
        <f t="shared" si="1"/>
        <v>-168.4803</v>
      </c>
      <c r="G22" s="7">
        <v>4820</v>
      </c>
      <c r="H22" s="7">
        <v>3080</v>
      </c>
      <c r="I22" s="7">
        <f t="shared" si="2"/>
        <v>11659706.961210001</v>
      </c>
      <c r="J22" s="10">
        <f t="shared" si="3"/>
        <v>11.65970696121</v>
      </c>
      <c r="K22" s="7">
        <v>200</v>
      </c>
      <c r="L22" s="7">
        <v>220</v>
      </c>
      <c r="M22" s="7">
        <f t="shared" si="4"/>
        <v>34557.51915</v>
      </c>
      <c r="N22" s="10">
        <f t="shared" si="5"/>
        <v>0.03455751915</v>
      </c>
      <c r="O22" s="7">
        <v>310</v>
      </c>
      <c r="P22" s="7">
        <v>270</v>
      </c>
      <c r="Q22" s="7">
        <f t="shared" si="6"/>
        <v>290</v>
      </c>
      <c r="R22" s="11">
        <f>(28000/21158)</f>
        <v>1.323376500614425</v>
      </c>
      <c r="S22" s="10">
        <f t="shared" si="7"/>
        <v>0.2801864256106212</v>
      </c>
      <c r="T22" s="4">
        <v>5.6</v>
      </c>
      <c r="U22" s="5">
        <v>9.6</v>
      </c>
      <c r="V22" s="5">
        <v>13.2</v>
      </c>
      <c r="W22" s="5">
        <v>8.1</v>
      </c>
      <c r="X22" s="3">
        <f t="shared" si="8"/>
        <v>9.125</v>
      </c>
      <c r="Y22" s="9">
        <v>80</v>
      </c>
      <c r="Z22" s="8">
        <f t="shared" si="9"/>
        <v>-4990</v>
      </c>
      <c r="AA22" s="9">
        <v>-4700</v>
      </c>
      <c r="AB22" s="10">
        <f t="shared" si="10"/>
        <v>0.002963841138114997</v>
      </c>
      <c r="AC22" s="11">
        <f t="shared" si="11"/>
        <v>1.5649350649350648</v>
      </c>
      <c r="AD22" s="7">
        <f t="shared" si="12"/>
        <v>1191806483.2111194</v>
      </c>
      <c r="AE22" s="11">
        <f t="shared" si="13"/>
        <v>1.1918064832111195</v>
      </c>
    </row>
    <row r="23" spans="1:31" ht="11.25">
      <c r="A23" s="1" t="s">
        <v>193</v>
      </c>
      <c r="B23" s="7" t="s">
        <v>56</v>
      </c>
      <c r="C23" s="6">
        <v>-14.77354</v>
      </c>
      <c r="D23" s="6">
        <v>189.51025</v>
      </c>
      <c r="E23" s="6">
        <f t="shared" si="0"/>
        <v>9.510250000000013</v>
      </c>
      <c r="F23" s="6">
        <f t="shared" si="1"/>
        <v>-170.48975</v>
      </c>
      <c r="G23" s="7">
        <v>2810</v>
      </c>
      <c r="H23" s="7">
        <v>1870</v>
      </c>
      <c r="I23" s="7">
        <f t="shared" si="2"/>
        <v>4127031.72448875</v>
      </c>
      <c r="J23" s="10">
        <f t="shared" si="3"/>
        <v>4.12703172448875</v>
      </c>
      <c r="K23" s="7">
        <v>920</v>
      </c>
      <c r="L23" s="7">
        <v>290</v>
      </c>
      <c r="M23" s="7">
        <f t="shared" si="4"/>
        <v>209544.229755</v>
      </c>
      <c r="N23" s="10">
        <f t="shared" si="5"/>
        <v>0.209544229755</v>
      </c>
      <c r="O23" s="7">
        <v>310</v>
      </c>
      <c r="P23" s="7">
        <v>280</v>
      </c>
      <c r="Q23" s="7">
        <f t="shared" si="6"/>
        <v>295</v>
      </c>
      <c r="R23" s="11">
        <f>(27000/21158)</f>
        <v>1.2761130541639096</v>
      </c>
      <c r="S23" s="10">
        <f t="shared" si="7"/>
        <v>0.24381878143974625</v>
      </c>
      <c r="T23" s="4">
        <v>15.7</v>
      </c>
      <c r="U23" s="5">
        <v>17</v>
      </c>
      <c r="V23" s="5">
        <v>16.7</v>
      </c>
      <c r="W23" s="5">
        <v>19.1</v>
      </c>
      <c r="X23" s="3">
        <f t="shared" si="8"/>
        <v>17.125</v>
      </c>
      <c r="Y23" s="9">
        <v>165</v>
      </c>
      <c r="Z23" s="8">
        <f t="shared" si="9"/>
        <v>-4085</v>
      </c>
      <c r="AA23" s="9">
        <v>-3790</v>
      </c>
      <c r="AB23" s="10">
        <f t="shared" si="10"/>
        <v>0.05077359316421489</v>
      </c>
      <c r="AC23" s="11">
        <f t="shared" si="11"/>
        <v>1.5026737967914439</v>
      </c>
      <c r="AD23" s="7">
        <f t="shared" si="12"/>
        <v>517874453.74747586</v>
      </c>
      <c r="AE23" s="11">
        <f t="shared" si="13"/>
        <v>0.5178744537474759</v>
      </c>
    </row>
    <row r="24" spans="1:31" ht="11.25">
      <c r="A24" s="1" t="s">
        <v>194</v>
      </c>
      <c r="B24" s="7" t="s">
        <v>58</v>
      </c>
      <c r="C24" s="6">
        <v>-13.9485</v>
      </c>
      <c r="D24" s="6">
        <v>191.14926</v>
      </c>
      <c r="E24" s="6">
        <f t="shared" si="0"/>
        <v>11.149259999999998</v>
      </c>
      <c r="F24" s="6">
        <f t="shared" si="1"/>
        <v>-168.85074</v>
      </c>
      <c r="G24" s="7">
        <v>2500</v>
      </c>
      <c r="H24" s="7">
        <v>2310</v>
      </c>
      <c r="I24" s="7">
        <f t="shared" si="2"/>
        <v>4535674.3884375</v>
      </c>
      <c r="J24" s="10">
        <f t="shared" si="3"/>
        <v>4.5356743884375</v>
      </c>
      <c r="K24" s="7">
        <v>150</v>
      </c>
      <c r="L24" s="7">
        <v>170</v>
      </c>
      <c r="M24" s="7">
        <f t="shared" si="4"/>
        <v>20027.65314375</v>
      </c>
      <c r="N24" s="10">
        <f t="shared" si="5"/>
        <v>0.02002765314375</v>
      </c>
      <c r="O24" s="7">
        <v>310</v>
      </c>
      <c r="P24" s="7">
        <v>290</v>
      </c>
      <c r="Q24" s="7">
        <f t="shared" si="6"/>
        <v>300</v>
      </c>
      <c r="R24" s="11">
        <f>(25000/21158)</f>
        <v>1.1815861612628793</v>
      </c>
      <c r="S24" s="10">
        <f t="shared" si="7"/>
        <v>0.16685774030361794</v>
      </c>
      <c r="T24" s="4">
        <v>14.2</v>
      </c>
      <c r="U24" s="5">
        <v>15.8</v>
      </c>
      <c r="V24" s="5">
        <v>12.9</v>
      </c>
      <c r="W24" s="5">
        <v>16.7</v>
      </c>
      <c r="X24" s="3">
        <f t="shared" si="8"/>
        <v>14.899999999999999</v>
      </c>
      <c r="Y24" s="9">
        <v>155</v>
      </c>
      <c r="Z24" s="8">
        <f t="shared" si="9"/>
        <v>-5100</v>
      </c>
      <c r="AA24" s="9">
        <v>-4800</v>
      </c>
      <c r="AB24" s="10">
        <f t="shared" si="10"/>
        <v>0.004415584415584416</v>
      </c>
      <c r="AC24" s="11">
        <f t="shared" si="11"/>
        <v>1.0822510822510822</v>
      </c>
      <c r="AD24" s="7">
        <f t="shared" si="12"/>
        <v>485709698.74987566</v>
      </c>
      <c r="AE24" s="11">
        <f t="shared" si="13"/>
        <v>0.4857096987498757</v>
      </c>
    </row>
    <row r="25" spans="1:31" ht="11.25">
      <c r="A25" s="1" t="s">
        <v>195</v>
      </c>
      <c r="B25" s="7" t="s">
        <v>57</v>
      </c>
      <c r="C25" s="6">
        <v>-14.59793</v>
      </c>
      <c r="D25" s="6">
        <v>189.36462</v>
      </c>
      <c r="E25" s="6">
        <f t="shared" si="0"/>
        <v>9.364620000000002</v>
      </c>
      <c r="F25" s="6">
        <f t="shared" si="1"/>
        <v>-170.63538</v>
      </c>
      <c r="G25" s="7">
        <v>3240</v>
      </c>
      <c r="H25" s="7">
        <v>2150</v>
      </c>
      <c r="I25" s="7">
        <f t="shared" si="2"/>
        <v>5471083.599975</v>
      </c>
      <c r="J25" s="10">
        <f t="shared" si="3"/>
        <v>5.4710835999750005</v>
      </c>
      <c r="K25" s="7">
        <v>220</v>
      </c>
      <c r="L25" s="7">
        <v>260</v>
      </c>
      <c r="M25" s="7">
        <f t="shared" si="4"/>
        <v>44924.774895</v>
      </c>
      <c r="N25" s="10">
        <f t="shared" si="5"/>
        <v>0.044924774895000005</v>
      </c>
      <c r="O25" s="7">
        <v>280</v>
      </c>
      <c r="P25" s="7">
        <v>320</v>
      </c>
      <c r="Q25" s="7">
        <f t="shared" si="6"/>
        <v>300</v>
      </c>
      <c r="R25" s="11">
        <f>(25000/21158)</f>
        <v>1.1815861612628793</v>
      </c>
      <c r="S25" s="10">
        <f t="shared" si="7"/>
        <v>0.16685774030361794</v>
      </c>
      <c r="T25" s="4">
        <v>10.9</v>
      </c>
      <c r="U25" s="5">
        <v>9.2</v>
      </c>
      <c r="V25" s="5">
        <v>18.4</v>
      </c>
      <c r="W25" s="5">
        <v>15.9</v>
      </c>
      <c r="X25" s="3">
        <f t="shared" si="8"/>
        <v>13.6</v>
      </c>
      <c r="Y25" s="9">
        <v>170</v>
      </c>
      <c r="Z25" s="8">
        <f t="shared" si="9"/>
        <v>-3650</v>
      </c>
      <c r="AA25" s="9">
        <v>-3350</v>
      </c>
      <c r="AB25" s="10">
        <f t="shared" si="10"/>
        <v>0.00821131208728108</v>
      </c>
      <c r="AC25" s="11">
        <f t="shared" si="11"/>
        <v>1.5069767441860464</v>
      </c>
      <c r="AD25" s="7">
        <f t="shared" si="12"/>
        <v>601177767.5210999</v>
      </c>
      <c r="AE25" s="11">
        <f t="shared" si="13"/>
        <v>0.6011777675211</v>
      </c>
    </row>
    <row r="26" spans="1:31" ht="11.25">
      <c r="A26" s="1" t="s">
        <v>196</v>
      </c>
      <c r="B26" s="7" t="s">
        <v>59</v>
      </c>
      <c r="C26" s="6">
        <v>-13.89409</v>
      </c>
      <c r="D26" s="6">
        <v>189.38286</v>
      </c>
      <c r="E26" s="6">
        <f t="shared" si="0"/>
        <v>9.382859999999994</v>
      </c>
      <c r="F26" s="6">
        <f t="shared" si="1"/>
        <v>-170.61714</v>
      </c>
      <c r="G26" s="7">
        <v>2580</v>
      </c>
      <c r="H26" s="7">
        <v>1990</v>
      </c>
      <c r="I26" s="7">
        <f t="shared" si="2"/>
        <v>4032391.2459075004</v>
      </c>
      <c r="J26" s="10">
        <f t="shared" si="3"/>
        <v>4.0323912459075</v>
      </c>
      <c r="K26" s="7">
        <v>260</v>
      </c>
      <c r="L26" s="7">
        <v>280</v>
      </c>
      <c r="M26" s="7">
        <f t="shared" si="4"/>
        <v>57176.98623</v>
      </c>
      <c r="N26" s="10">
        <f t="shared" si="5"/>
        <v>0.057176986230000004</v>
      </c>
      <c r="O26" s="7">
        <v>340</v>
      </c>
      <c r="P26" s="7">
        <v>270</v>
      </c>
      <c r="Q26" s="7">
        <f t="shared" si="6"/>
        <v>305</v>
      </c>
      <c r="R26" s="11">
        <f>(23000/21158)</f>
        <v>1.087059268361849</v>
      </c>
      <c r="S26" s="10">
        <f t="shared" si="7"/>
        <v>0.08347613136456689</v>
      </c>
      <c r="T26" s="4">
        <v>17.8</v>
      </c>
      <c r="U26" s="5">
        <v>9.5</v>
      </c>
      <c r="V26" s="5">
        <v>15.2</v>
      </c>
      <c r="W26" s="5">
        <v>13.8</v>
      </c>
      <c r="X26" s="3">
        <f t="shared" si="8"/>
        <v>14.075</v>
      </c>
      <c r="Y26" s="9">
        <v>135</v>
      </c>
      <c r="Z26" s="8">
        <f t="shared" si="9"/>
        <v>-4125</v>
      </c>
      <c r="AA26" s="9">
        <v>-3820</v>
      </c>
      <c r="AB26" s="10">
        <f t="shared" si="10"/>
        <v>0.014179424253048186</v>
      </c>
      <c r="AC26" s="11">
        <f t="shared" si="11"/>
        <v>1.2964824120603016</v>
      </c>
      <c r="AD26" s="7">
        <f t="shared" si="12"/>
        <v>464589709.52045214</v>
      </c>
      <c r="AE26" s="11">
        <f t="shared" si="13"/>
        <v>0.46458970952045214</v>
      </c>
    </row>
    <row r="27" spans="1:31" ht="11.25">
      <c r="A27" s="1" t="s">
        <v>197</v>
      </c>
      <c r="B27" s="7" t="s">
        <v>60</v>
      </c>
      <c r="C27" s="6">
        <v>-14.37178</v>
      </c>
      <c r="D27" s="6">
        <v>191.22818</v>
      </c>
      <c r="E27" s="6">
        <f t="shared" si="0"/>
        <v>11.228180000000009</v>
      </c>
      <c r="F27" s="6">
        <f t="shared" si="1"/>
        <v>-168.77182</v>
      </c>
      <c r="G27" s="7">
        <v>3100</v>
      </c>
      <c r="H27" s="7">
        <v>2970</v>
      </c>
      <c r="I27" s="7">
        <f t="shared" si="2"/>
        <v>7231160.882137501</v>
      </c>
      <c r="J27" s="10">
        <f t="shared" si="3"/>
        <v>7.231160882137501</v>
      </c>
      <c r="K27" s="7">
        <v>180</v>
      </c>
      <c r="L27" s="7">
        <v>110</v>
      </c>
      <c r="M27" s="7">
        <f t="shared" si="4"/>
        <v>15550.883617500001</v>
      </c>
      <c r="N27" s="10">
        <f t="shared" si="5"/>
        <v>0.015550883617500002</v>
      </c>
      <c r="O27" s="7">
        <v>290</v>
      </c>
      <c r="P27" s="7">
        <v>320</v>
      </c>
      <c r="Q27" s="7">
        <f t="shared" si="6"/>
        <v>305</v>
      </c>
      <c r="R27" s="11">
        <f>(23000/21158)</f>
        <v>1.087059268361849</v>
      </c>
      <c r="S27" s="10">
        <f t="shared" si="7"/>
        <v>0.08347613136456689</v>
      </c>
      <c r="T27" s="4">
        <v>12.1</v>
      </c>
      <c r="U27" s="5">
        <v>10.6</v>
      </c>
      <c r="V27" s="5">
        <v>11.9</v>
      </c>
      <c r="W27" s="5">
        <v>9</v>
      </c>
      <c r="X27" s="3">
        <f t="shared" si="8"/>
        <v>10.9</v>
      </c>
      <c r="Y27" s="9">
        <v>25</v>
      </c>
      <c r="Z27" s="8">
        <f t="shared" si="9"/>
        <v>-4965</v>
      </c>
      <c r="AA27" s="9">
        <v>-4660</v>
      </c>
      <c r="AB27" s="10">
        <f t="shared" si="10"/>
        <v>0.002150537634408602</v>
      </c>
      <c r="AC27" s="11">
        <f t="shared" si="11"/>
        <v>1.0437710437710437</v>
      </c>
      <c r="AD27" s="7">
        <f t="shared" si="12"/>
        <v>770841630.2376485</v>
      </c>
      <c r="AE27" s="11">
        <f t="shared" si="13"/>
        <v>0.7708416302376485</v>
      </c>
    </row>
    <row r="28" spans="1:31" ht="11.25">
      <c r="A28" s="1" t="s">
        <v>198</v>
      </c>
      <c r="B28" s="7" t="s">
        <v>64</v>
      </c>
      <c r="C28" s="6">
        <v>-14.18954</v>
      </c>
      <c r="D28" s="6">
        <v>191.21637</v>
      </c>
      <c r="E28" s="6">
        <f t="shared" si="0"/>
        <v>11.216370000000012</v>
      </c>
      <c r="F28" s="6">
        <f t="shared" si="1"/>
        <v>-168.78363</v>
      </c>
      <c r="G28" s="7">
        <v>2290</v>
      </c>
      <c r="H28" s="7">
        <v>2010</v>
      </c>
      <c r="I28" s="7">
        <f t="shared" si="2"/>
        <v>3615109.2021712502</v>
      </c>
      <c r="J28" s="10">
        <f t="shared" si="3"/>
        <v>3.6151092021712503</v>
      </c>
      <c r="K28" s="7">
        <v>180</v>
      </c>
      <c r="L28" s="7">
        <v>180</v>
      </c>
      <c r="M28" s="7">
        <f t="shared" si="4"/>
        <v>25446.900465000002</v>
      </c>
      <c r="N28" s="10">
        <f t="shared" si="5"/>
        <v>0.025446900465000002</v>
      </c>
      <c r="O28" s="7">
        <v>330</v>
      </c>
      <c r="P28" s="7">
        <v>290</v>
      </c>
      <c r="Q28" s="7">
        <f t="shared" si="6"/>
        <v>310</v>
      </c>
      <c r="R28" s="11">
        <f>(20000/21158)</f>
        <v>0.9452689290103035</v>
      </c>
      <c r="S28" s="10">
        <f t="shared" si="7"/>
        <v>-0.056285811010591796</v>
      </c>
      <c r="T28" s="4">
        <v>17</v>
      </c>
      <c r="U28" s="5">
        <v>16.8</v>
      </c>
      <c r="V28" s="5">
        <v>16</v>
      </c>
      <c r="W28" s="5">
        <v>16.3</v>
      </c>
      <c r="X28" s="3">
        <f t="shared" si="8"/>
        <v>16.525</v>
      </c>
      <c r="Y28" s="9">
        <v>5</v>
      </c>
      <c r="Z28" s="8">
        <f t="shared" si="9"/>
        <v>-5050</v>
      </c>
      <c r="AA28" s="9">
        <v>-4740</v>
      </c>
      <c r="AB28" s="10">
        <f t="shared" si="10"/>
        <v>0.007039040604836082</v>
      </c>
      <c r="AC28" s="11">
        <f t="shared" si="11"/>
        <v>1.1393034825870647</v>
      </c>
      <c r="AD28" s="7">
        <f t="shared" si="12"/>
        <v>407532211.9040828</v>
      </c>
      <c r="AE28" s="11">
        <f t="shared" si="13"/>
        <v>0.4075322119040828</v>
      </c>
    </row>
    <row r="29" spans="1:31" ht="11.25">
      <c r="A29" s="1" t="s">
        <v>199</v>
      </c>
      <c r="B29" s="7" t="s">
        <v>62</v>
      </c>
      <c r="C29" s="6">
        <v>-14.63187</v>
      </c>
      <c r="D29" s="6">
        <v>189.33846</v>
      </c>
      <c r="E29" s="6">
        <f t="shared" si="0"/>
        <v>9.338459999999998</v>
      </c>
      <c r="F29" s="6">
        <f t="shared" si="1"/>
        <v>-170.66154</v>
      </c>
      <c r="G29" s="7">
        <v>3160</v>
      </c>
      <c r="H29" s="7">
        <v>2280</v>
      </c>
      <c r="I29" s="7">
        <f t="shared" si="2"/>
        <v>5658636.68118</v>
      </c>
      <c r="J29" s="10">
        <f t="shared" si="3"/>
        <v>5.65863668118</v>
      </c>
      <c r="K29" s="7">
        <v>1070</v>
      </c>
      <c r="L29" s="7">
        <v>220</v>
      </c>
      <c r="M29" s="7">
        <f t="shared" si="4"/>
        <v>184882.72745250002</v>
      </c>
      <c r="N29" s="10">
        <f t="shared" si="5"/>
        <v>0.18488272745250003</v>
      </c>
      <c r="O29" s="7">
        <v>270</v>
      </c>
      <c r="P29" s="7">
        <v>350</v>
      </c>
      <c r="Q29" s="7">
        <f t="shared" si="6"/>
        <v>310</v>
      </c>
      <c r="R29" s="11">
        <f>(20000/21158)</f>
        <v>0.9452689290103035</v>
      </c>
      <c r="S29" s="10">
        <f t="shared" si="7"/>
        <v>-0.056285811010591796</v>
      </c>
      <c r="T29" s="4">
        <v>11.3</v>
      </c>
      <c r="U29" s="5">
        <v>16.2</v>
      </c>
      <c r="V29" s="5">
        <v>19.3</v>
      </c>
      <c r="W29" s="5">
        <v>17.9</v>
      </c>
      <c r="X29" s="3">
        <f t="shared" si="8"/>
        <v>16.174999999999997</v>
      </c>
      <c r="Y29" s="9">
        <v>20</v>
      </c>
      <c r="Z29" s="8">
        <f t="shared" si="9"/>
        <v>-3580</v>
      </c>
      <c r="AA29" s="9">
        <v>-3270</v>
      </c>
      <c r="AB29" s="10">
        <f t="shared" si="10"/>
        <v>0.03267266266933156</v>
      </c>
      <c r="AC29" s="11">
        <f t="shared" si="11"/>
        <v>1.3859649122807018</v>
      </c>
      <c r="AD29" s="7">
        <f t="shared" si="12"/>
        <v>709522922.4713969</v>
      </c>
      <c r="AE29" s="11">
        <f t="shared" si="13"/>
        <v>0.7095229224713969</v>
      </c>
    </row>
    <row r="30" spans="1:31" ht="11.25">
      <c r="A30" s="1" t="s">
        <v>200</v>
      </c>
      <c r="B30" s="7" t="s">
        <v>61</v>
      </c>
      <c r="C30" s="6">
        <v>-14.74146</v>
      </c>
      <c r="D30" s="6">
        <v>189.24048</v>
      </c>
      <c r="E30" s="6">
        <f t="shared" si="0"/>
        <v>9.240479999999991</v>
      </c>
      <c r="F30" s="6">
        <f t="shared" si="1"/>
        <v>-170.75952</v>
      </c>
      <c r="G30" s="7">
        <v>3150</v>
      </c>
      <c r="H30" s="7">
        <v>2220</v>
      </c>
      <c r="I30" s="7">
        <f t="shared" si="2"/>
        <v>5492289.3503625</v>
      </c>
      <c r="J30" s="10">
        <f t="shared" si="3"/>
        <v>5.4922893503625</v>
      </c>
      <c r="K30" s="7">
        <v>300</v>
      </c>
      <c r="L30" s="7">
        <v>300</v>
      </c>
      <c r="M30" s="7">
        <f t="shared" si="4"/>
        <v>70685.834625</v>
      </c>
      <c r="N30" s="10">
        <f t="shared" si="5"/>
        <v>0.070685834625</v>
      </c>
      <c r="O30" s="7">
        <v>300</v>
      </c>
      <c r="P30" s="7">
        <v>320</v>
      </c>
      <c r="Q30" s="7">
        <f t="shared" si="6"/>
        <v>310</v>
      </c>
      <c r="R30" s="11">
        <f>(20000/21158)</f>
        <v>0.9452689290103035</v>
      </c>
      <c r="S30" s="10">
        <f t="shared" si="7"/>
        <v>-0.056285811010591796</v>
      </c>
      <c r="T30" s="4">
        <v>8.7</v>
      </c>
      <c r="U30" s="5">
        <v>12.4</v>
      </c>
      <c r="V30" s="5">
        <v>15.1</v>
      </c>
      <c r="W30" s="5">
        <v>11.4</v>
      </c>
      <c r="X30" s="3">
        <f t="shared" si="8"/>
        <v>11.9</v>
      </c>
      <c r="Y30" s="9">
        <v>15</v>
      </c>
      <c r="Z30" s="8">
        <f t="shared" si="9"/>
        <v>-3810</v>
      </c>
      <c r="AA30" s="9">
        <v>-3500</v>
      </c>
      <c r="AB30" s="10">
        <f t="shared" si="10"/>
        <v>0.012870012870012871</v>
      </c>
      <c r="AC30" s="11">
        <f t="shared" si="11"/>
        <v>1.4189189189189189</v>
      </c>
      <c r="AD30" s="7">
        <f t="shared" si="12"/>
        <v>639225567.3142433</v>
      </c>
      <c r="AE30" s="11">
        <f t="shared" si="13"/>
        <v>0.6392255673142433</v>
      </c>
    </row>
    <row r="31" spans="1:31" ht="11.25">
      <c r="A31" s="1" t="s">
        <v>201</v>
      </c>
      <c r="B31" s="7" t="s">
        <v>63</v>
      </c>
      <c r="C31" s="6">
        <v>-14.16448</v>
      </c>
      <c r="D31" s="6">
        <v>191.19635</v>
      </c>
      <c r="E31" s="6">
        <f t="shared" si="0"/>
        <v>11.196349999999995</v>
      </c>
      <c r="F31" s="6">
        <f t="shared" si="1"/>
        <v>-168.80365</v>
      </c>
      <c r="G31" s="7">
        <v>2810</v>
      </c>
      <c r="H31" s="7">
        <v>2390</v>
      </c>
      <c r="I31" s="7">
        <f t="shared" si="2"/>
        <v>5274655.519533751</v>
      </c>
      <c r="J31" s="10">
        <f t="shared" si="3"/>
        <v>5.27465551953375</v>
      </c>
      <c r="K31" s="7">
        <v>220</v>
      </c>
      <c r="L31" s="7">
        <v>330</v>
      </c>
      <c r="M31" s="7">
        <f t="shared" si="4"/>
        <v>57019.906597500005</v>
      </c>
      <c r="N31" s="10">
        <f t="shared" si="5"/>
        <v>0.0570199065975</v>
      </c>
      <c r="O31" s="7">
        <v>340</v>
      </c>
      <c r="P31" s="7">
        <v>290</v>
      </c>
      <c r="Q31" s="7">
        <f t="shared" si="6"/>
        <v>315</v>
      </c>
      <c r="R31" s="11">
        <f>(18000/21158)</f>
        <v>0.8507420361092731</v>
      </c>
      <c r="S31" s="10">
        <f t="shared" si="7"/>
        <v>-0.16164632666841808</v>
      </c>
      <c r="T31" s="4">
        <v>12.1</v>
      </c>
      <c r="U31" s="5">
        <v>13.7</v>
      </c>
      <c r="V31" s="5">
        <v>13.7</v>
      </c>
      <c r="W31" s="5">
        <v>15.1</v>
      </c>
      <c r="X31" s="3">
        <f t="shared" si="8"/>
        <v>13.65</v>
      </c>
      <c r="Y31" s="9">
        <v>130</v>
      </c>
      <c r="Z31" s="8">
        <f t="shared" si="9"/>
        <v>-4935</v>
      </c>
      <c r="AA31" s="9">
        <v>-4620</v>
      </c>
      <c r="AB31" s="10">
        <f t="shared" si="10"/>
        <v>0.010810166917315624</v>
      </c>
      <c r="AC31" s="11">
        <f t="shared" si="11"/>
        <v>1.1757322175732217</v>
      </c>
      <c r="AD31" s="7">
        <f t="shared" si="12"/>
        <v>617409624.2508922</v>
      </c>
      <c r="AE31" s="11">
        <f t="shared" si="13"/>
        <v>0.6174096242508922</v>
      </c>
    </row>
    <row r="32" spans="1:31" ht="11.25">
      <c r="A32" s="1" t="s">
        <v>202</v>
      </c>
      <c r="B32" s="7" t="s">
        <v>65</v>
      </c>
      <c r="C32" s="6">
        <v>-14.51766</v>
      </c>
      <c r="D32" s="6">
        <v>191.5056</v>
      </c>
      <c r="E32" s="6">
        <f t="shared" si="0"/>
        <v>11.505599999999987</v>
      </c>
      <c r="F32" s="6">
        <f t="shared" si="1"/>
        <v>-168.4944</v>
      </c>
      <c r="G32" s="7">
        <v>2520</v>
      </c>
      <c r="H32" s="7">
        <v>2370</v>
      </c>
      <c r="I32" s="7">
        <f t="shared" si="2"/>
        <v>4690711.985715</v>
      </c>
      <c r="J32" s="10">
        <f t="shared" si="3"/>
        <v>4.690711985715</v>
      </c>
      <c r="K32" s="7">
        <v>290</v>
      </c>
      <c r="L32" s="7">
        <v>320</v>
      </c>
      <c r="M32" s="7">
        <f t="shared" si="4"/>
        <v>72884.94948000001</v>
      </c>
      <c r="N32" s="10">
        <f t="shared" si="5"/>
        <v>0.07288494948000002</v>
      </c>
      <c r="O32" s="7">
        <v>350</v>
      </c>
      <c r="P32" s="7">
        <v>280</v>
      </c>
      <c r="Q32" s="7">
        <f t="shared" si="6"/>
        <v>315</v>
      </c>
      <c r="R32" s="11">
        <f>(18000/21158)</f>
        <v>0.8507420361092731</v>
      </c>
      <c r="S32" s="10">
        <f t="shared" si="7"/>
        <v>-0.16164632666841808</v>
      </c>
      <c r="T32" s="4">
        <v>15.2</v>
      </c>
      <c r="U32" s="5">
        <v>13.9</v>
      </c>
      <c r="V32" s="5">
        <v>16.7</v>
      </c>
      <c r="W32" s="5">
        <v>12.5</v>
      </c>
      <c r="X32" s="3">
        <f t="shared" si="8"/>
        <v>14.575</v>
      </c>
      <c r="Y32" s="9">
        <v>0</v>
      </c>
      <c r="Z32" s="8">
        <f t="shared" si="9"/>
        <v>-4975</v>
      </c>
      <c r="AA32" s="9">
        <v>-4660</v>
      </c>
      <c r="AB32" s="10">
        <f t="shared" si="10"/>
        <v>0.015538142120420604</v>
      </c>
      <c r="AC32" s="11">
        <f t="shared" si="11"/>
        <v>1.0632911392405062</v>
      </c>
      <c r="AD32" s="7">
        <f t="shared" si="12"/>
        <v>561571915.9120339</v>
      </c>
      <c r="AE32" s="11">
        <f t="shared" si="13"/>
        <v>0.5615719159120339</v>
      </c>
    </row>
    <row r="33" spans="1:31" ht="11.25">
      <c r="A33" s="1" t="s">
        <v>203</v>
      </c>
      <c r="B33" s="7" t="s">
        <v>66</v>
      </c>
      <c r="C33" s="6">
        <v>-14.41868</v>
      </c>
      <c r="D33" s="6">
        <v>190.19933</v>
      </c>
      <c r="E33" s="6">
        <f t="shared" si="0"/>
        <v>10.199330000000003</v>
      </c>
      <c r="F33" s="6">
        <f t="shared" si="1"/>
        <v>-169.80067</v>
      </c>
      <c r="G33" s="7">
        <v>2410</v>
      </c>
      <c r="H33" s="7">
        <v>2350</v>
      </c>
      <c r="I33" s="7">
        <f t="shared" si="2"/>
        <v>4448102.4933187505</v>
      </c>
      <c r="J33" s="10">
        <f t="shared" si="3"/>
        <v>4.448102493318751</v>
      </c>
      <c r="K33" s="7">
        <v>240</v>
      </c>
      <c r="L33" s="7">
        <v>60</v>
      </c>
      <c r="M33" s="7">
        <f t="shared" si="4"/>
        <v>11309.733540000001</v>
      </c>
      <c r="N33" s="10">
        <f t="shared" si="5"/>
        <v>0.011309733540000002</v>
      </c>
      <c r="O33" s="7">
        <v>330</v>
      </c>
      <c r="P33" s="7">
        <v>320</v>
      </c>
      <c r="Q33" s="7">
        <f t="shared" si="6"/>
        <v>325</v>
      </c>
      <c r="R33" s="11">
        <f>(16000/21158)</f>
        <v>0.7562151432082428</v>
      </c>
      <c r="S33" s="10">
        <f t="shared" si="7"/>
        <v>-0.27942936232480153</v>
      </c>
      <c r="T33" s="4">
        <v>19.1</v>
      </c>
      <c r="U33" s="5">
        <v>15.9</v>
      </c>
      <c r="V33" s="5">
        <v>16.9</v>
      </c>
      <c r="W33" s="5">
        <v>16.2</v>
      </c>
      <c r="X33" s="3">
        <f t="shared" si="8"/>
        <v>17.025</v>
      </c>
      <c r="Y33" s="9">
        <v>5</v>
      </c>
      <c r="Z33" s="8">
        <f t="shared" si="9"/>
        <v>-3395</v>
      </c>
      <c r="AA33" s="9">
        <v>-3070</v>
      </c>
      <c r="AB33" s="10">
        <f t="shared" si="10"/>
        <v>0.0025425973338041846</v>
      </c>
      <c r="AC33" s="11">
        <f t="shared" si="11"/>
        <v>1.025531914893617</v>
      </c>
      <c r="AD33" s="7">
        <f t="shared" si="12"/>
        <v>507401279.8186091</v>
      </c>
      <c r="AE33" s="11">
        <f t="shared" si="13"/>
        <v>0.5074012798186092</v>
      </c>
    </row>
    <row r="34" spans="1:31" ht="11.25">
      <c r="A34" s="1" t="s">
        <v>204</v>
      </c>
      <c r="B34" s="7" t="s">
        <v>67</v>
      </c>
      <c r="C34" s="6">
        <v>-14.45928</v>
      </c>
      <c r="D34" s="6">
        <v>191.52354</v>
      </c>
      <c r="E34" s="6">
        <f aca="true" t="shared" si="14" ref="E34:E52">(D34-180)</f>
        <v>11.523539999999997</v>
      </c>
      <c r="F34" s="6">
        <f aca="true" t="shared" si="15" ref="F34:F52">((180-E34)*-1)</f>
        <v>-168.47646</v>
      </c>
      <c r="G34" s="7">
        <v>3720</v>
      </c>
      <c r="H34" s="7">
        <v>2260</v>
      </c>
      <c r="I34" s="7">
        <f aca="true" t="shared" si="16" ref="I34:I52">(3.14159265*((G34/2)*(H34/2)))</f>
        <v>6602999.431770001</v>
      </c>
      <c r="J34" s="10">
        <f aca="true" t="shared" si="17" ref="J34:J54">I34/1000000</f>
        <v>6.602999431770001</v>
      </c>
      <c r="K34" s="7">
        <v>180</v>
      </c>
      <c r="L34" s="7">
        <v>360</v>
      </c>
      <c r="M34" s="7">
        <f aca="true" t="shared" si="18" ref="M34:M52">(3.14159265*((K34/2)*(L34/2)))</f>
        <v>50893.800930000005</v>
      </c>
      <c r="N34" s="10">
        <f aca="true" t="shared" si="19" ref="N34:N52">M34/1000000</f>
        <v>0.050893800930000004</v>
      </c>
      <c r="O34" s="7">
        <v>320</v>
      </c>
      <c r="P34" s="7">
        <v>330</v>
      </c>
      <c r="Q34" s="7">
        <f aca="true" t="shared" si="20" ref="Q34:Q52">AVERAGE(O34:P34)</f>
        <v>325</v>
      </c>
      <c r="R34" s="11">
        <f>(16000/21158)</f>
        <v>0.7562151432082428</v>
      </c>
      <c r="S34" s="10">
        <f t="shared" si="7"/>
        <v>-0.27942936232480153</v>
      </c>
      <c r="T34" s="4">
        <v>11.1</v>
      </c>
      <c r="U34" s="5">
        <v>8.9</v>
      </c>
      <c r="V34" s="5">
        <v>15.7</v>
      </c>
      <c r="W34" s="5">
        <v>17.8</v>
      </c>
      <c r="X34" s="3">
        <f aca="true" t="shared" si="21" ref="X34:X52">AVERAGE(T34:W34)</f>
        <v>13.375</v>
      </c>
      <c r="Y34" s="9">
        <v>85</v>
      </c>
      <c r="Z34" s="8">
        <f aca="true" t="shared" si="22" ref="Z34:Z52">(AA34-Q34)</f>
        <v>-4935</v>
      </c>
      <c r="AA34" s="9">
        <v>-4610</v>
      </c>
      <c r="AB34" s="10">
        <f aca="true" t="shared" si="23" ref="AB34:AB52">(M34/I34)</f>
        <v>0.0077076791321724234</v>
      </c>
      <c r="AC34" s="11">
        <f aca="true" t="shared" si="24" ref="AC34:AC52">(G34/H34)</f>
        <v>1.6460176991150441</v>
      </c>
      <c r="AD34" s="7">
        <f aca="true" t="shared" si="25" ref="AD34:AD52">(1/3)*Q34*(M34+I34+(SQRT(M34*I34)))</f>
        <v>783639234.0433128</v>
      </c>
      <c r="AE34" s="11">
        <f aca="true" t="shared" si="26" ref="AE34:AE52">AD34/1000000000</f>
        <v>0.7836392340433128</v>
      </c>
    </row>
    <row r="35" spans="1:31" ht="11.25">
      <c r="A35" s="1" t="s">
        <v>205</v>
      </c>
      <c r="B35" s="7" t="s">
        <v>69</v>
      </c>
      <c r="C35" s="6">
        <v>-13.62784</v>
      </c>
      <c r="D35" s="6">
        <v>189.71605</v>
      </c>
      <c r="E35" s="6">
        <f t="shared" si="14"/>
        <v>9.716049999999996</v>
      </c>
      <c r="F35" s="6">
        <f t="shared" si="15"/>
        <v>-170.28395</v>
      </c>
      <c r="G35" s="7">
        <v>3200</v>
      </c>
      <c r="H35" s="7">
        <v>2270</v>
      </c>
      <c r="I35" s="7">
        <f t="shared" si="16"/>
        <v>5705132.252400001</v>
      </c>
      <c r="J35" s="10">
        <f t="shared" si="17"/>
        <v>5.7051322524</v>
      </c>
      <c r="K35" s="7">
        <v>330</v>
      </c>
      <c r="L35" s="7">
        <v>140</v>
      </c>
      <c r="M35" s="7">
        <f t="shared" si="18"/>
        <v>36285.3951075</v>
      </c>
      <c r="N35" s="10">
        <f t="shared" si="19"/>
        <v>0.0362853951075</v>
      </c>
      <c r="O35" s="7">
        <v>410</v>
      </c>
      <c r="P35" s="7">
        <v>280</v>
      </c>
      <c r="Q35" s="7">
        <f t="shared" si="20"/>
        <v>345</v>
      </c>
      <c r="R35" s="11">
        <f>(14000/21158)</f>
        <v>0.6616882503072125</v>
      </c>
      <c r="S35" s="10">
        <f t="shared" si="7"/>
        <v>-0.4129607549493241</v>
      </c>
      <c r="T35" s="4">
        <v>14.5</v>
      </c>
      <c r="U35" s="5">
        <v>12.1</v>
      </c>
      <c r="V35" s="5">
        <v>13.2</v>
      </c>
      <c r="W35" s="5">
        <v>15.6</v>
      </c>
      <c r="X35" s="3">
        <f t="shared" si="21"/>
        <v>13.85</v>
      </c>
      <c r="Y35" s="9">
        <v>160</v>
      </c>
      <c r="Z35" s="8">
        <f t="shared" si="22"/>
        <v>-4595</v>
      </c>
      <c r="AA35" s="9">
        <v>-4250</v>
      </c>
      <c r="AB35" s="10">
        <f t="shared" si="23"/>
        <v>0.006360132158590308</v>
      </c>
      <c r="AC35" s="11">
        <f t="shared" si="24"/>
        <v>1.4096916299559472</v>
      </c>
      <c r="AD35" s="7">
        <f t="shared" si="25"/>
        <v>712586510.1673173</v>
      </c>
      <c r="AE35" s="11">
        <f t="shared" si="26"/>
        <v>0.7125865101673172</v>
      </c>
    </row>
    <row r="36" spans="1:31" ht="11.25">
      <c r="A36" s="1" t="s">
        <v>206</v>
      </c>
      <c r="B36" s="7" t="s">
        <v>68</v>
      </c>
      <c r="C36" s="6">
        <v>-13.8426</v>
      </c>
      <c r="D36" s="6">
        <v>189.513</v>
      </c>
      <c r="E36" s="6">
        <f t="shared" si="14"/>
        <v>9.513000000000005</v>
      </c>
      <c r="F36" s="6">
        <f t="shared" si="15"/>
        <v>-170.487</v>
      </c>
      <c r="G36" s="7">
        <v>2860</v>
      </c>
      <c r="H36" s="7">
        <v>2560</v>
      </c>
      <c r="I36" s="7">
        <f t="shared" si="16"/>
        <v>5750371.18656</v>
      </c>
      <c r="J36" s="10">
        <f t="shared" si="17"/>
        <v>5.750371186560001</v>
      </c>
      <c r="K36" s="7">
        <v>320</v>
      </c>
      <c r="L36" s="7">
        <v>240</v>
      </c>
      <c r="M36" s="7">
        <f t="shared" si="18"/>
        <v>60318.57888</v>
      </c>
      <c r="N36" s="10">
        <f t="shared" si="19"/>
        <v>0.06031857888</v>
      </c>
      <c r="O36" s="7">
        <v>400</v>
      </c>
      <c r="P36" s="7">
        <v>290</v>
      </c>
      <c r="Q36" s="7">
        <f t="shared" si="20"/>
        <v>345</v>
      </c>
      <c r="R36" s="11">
        <f>(14000/21158)</f>
        <v>0.6616882503072125</v>
      </c>
      <c r="S36" s="10">
        <f t="shared" si="7"/>
        <v>-0.4129607549493241</v>
      </c>
      <c r="T36" s="4">
        <v>15.9</v>
      </c>
      <c r="U36" s="5">
        <v>15.4</v>
      </c>
      <c r="V36" s="5">
        <v>11</v>
      </c>
      <c r="W36" s="5">
        <v>16</v>
      </c>
      <c r="X36" s="3">
        <f t="shared" si="21"/>
        <v>14.575</v>
      </c>
      <c r="Y36" s="9">
        <v>110</v>
      </c>
      <c r="Z36" s="8">
        <f t="shared" si="22"/>
        <v>-4195</v>
      </c>
      <c r="AA36" s="9">
        <v>-3850</v>
      </c>
      <c r="AB36" s="10">
        <f t="shared" si="23"/>
        <v>0.01048951048951049</v>
      </c>
      <c r="AC36" s="11">
        <f t="shared" si="24"/>
        <v>1.1171875</v>
      </c>
      <c r="AD36" s="7">
        <f t="shared" si="25"/>
        <v>735957803.2471927</v>
      </c>
      <c r="AE36" s="11">
        <f t="shared" si="26"/>
        <v>0.7359578032471927</v>
      </c>
    </row>
    <row r="37" spans="1:31" ht="11.25">
      <c r="A37" s="1" t="s">
        <v>207</v>
      </c>
      <c r="B37" s="7" t="s">
        <v>70</v>
      </c>
      <c r="C37" s="6">
        <v>-13.68659</v>
      </c>
      <c r="D37" s="6">
        <v>189.52085</v>
      </c>
      <c r="E37" s="6">
        <f t="shared" si="14"/>
        <v>9.520849999999996</v>
      </c>
      <c r="F37" s="6">
        <f t="shared" si="15"/>
        <v>-170.47915</v>
      </c>
      <c r="G37" s="7">
        <v>2170</v>
      </c>
      <c r="H37" s="7">
        <v>2160</v>
      </c>
      <c r="I37" s="7">
        <f t="shared" si="16"/>
        <v>3681318.26727</v>
      </c>
      <c r="J37" s="10">
        <f t="shared" si="17"/>
        <v>3.68131826727</v>
      </c>
      <c r="K37" s="7">
        <v>370</v>
      </c>
      <c r="L37" s="7">
        <v>250</v>
      </c>
      <c r="M37" s="7">
        <f t="shared" si="18"/>
        <v>72649.33003125</v>
      </c>
      <c r="N37" s="10">
        <f t="shared" si="19"/>
        <v>0.07264933003125</v>
      </c>
      <c r="O37" s="7">
        <v>330</v>
      </c>
      <c r="P37" s="7">
        <v>370</v>
      </c>
      <c r="Q37" s="7">
        <f t="shared" si="20"/>
        <v>350</v>
      </c>
      <c r="R37" s="11">
        <f>(12000/21158)</f>
        <v>0.567161357406182</v>
      </c>
      <c r="S37" s="10">
        <f t="shared" si="7"/>
        <v>-0.5671114347765825</v>
      </c>
      <c r="T37" s="4">
        <v>16.3</v>
      </c>
      <c r="U37" s="5">
        <v>19.8</v>
      </c>
      <c r="V37" s="5">
        <v>18.3</v>
      </c>
      <c r="W37" s="5">
        <v>17.8</v>
      </c>
      <c r="X37" s="3">
        <f t="shared" si="21"/>
        <v>18.05</v>
      </c>
      <c r="Y37" s="9">
        <v>85</v>
      </c>
      <c r="Z37" s="8">
        <f t="shared" si="22"/>
        <v>-4530</v>
      </c>
      <c r="AA37" s="9">
        <v>-4180</v>
      </c>
      <c r="AB37" s="10">
        <f t="shared" si="23"/>
        <v>0.019734596347499574</v>
      </c>
      <c r="AC37" s="11">
        <f t="shared" si="24"/>
        <v>1.0046296296296295</v>
      </c>
      <c r="AD37" s="7">
        <f t="shared" si="25"/>
        <v>498297186.48609996</v>
      </c>
      <c r="AE37" s="11">
        <f t="shared" si="26"/>
        <v>0.49829718648609994</v>
      </c>
    </row>
    <row r="38" spans="1:31" ht="11.25">
      <c r="A38" s="1" t="s">
        <v>208</v>
      </c>
      <c r="B38" s="7" t="s">
        <v>71</v>
      </c>
      <c r="C38" s="6">
        <v>-14.55968</v>
      </c>
      <c r="D38" s="6">
        <v>190.37901</v>
      </c>
      <c r="E38" s="6">
        <f t="shared" si="14"/>
        <v>10.379009999999994</v>
      </c>
      <c r="F38" s="6">
        <f t="shared" si="15"/>
        <v>-169.62099</v>
      </c>
      <c r="G38" s="7">
        <v>2690</v>
      </c>
      <c r="H38" s="7">
        <v>2610</v>
      </c>
      <c r="I38" s="7">
        <f t="shared" si="16"/>
        <v>5514201.95909625</v>
      </c>
      <c r="J38" s="10">
        <f t="shared" si="17"/>
        <v>5.51420195909625</v>
      </c>
      <c r="K38" s="7">
        <v>200</v>
      </c>
      <c r="L38" s="7">
        <v>280</v>
      </c>
      <c r="M38" s="7">
        <f t="shared" si="18"/>
        <v>43982.2971</v>
      </c>
      <c r="N38" s="10">
        <f t="shared" si="19"/>
        <v>0.043982297100000005</v>
      </c>
      <c r="O38" s="7">
        <v>360</v>
      </c>
      <c r="P38" s="7">
        <v>340</v>
      </c>
      <c r="Q38" s="7">
        <f t="shared" si="20"/>
        <v>350</v>
      </c>
      <c r="R38" s="11">
        <f>(12000/21158)</f>
        <v>0.567161357406182</v>
      </c>
      <c r="S38" s="10">
        <f t="shared" si="7"/>
        <v>-0.5671114347765825</v>
      </c>
      <c r="T38" s="4">
        <v>18.3</v>
      </c>
      <c r="U38" s="5">
        <v>14.1</v>
      </c>
      <c r="V38" s="5">
        <v>18.5</v>
      </c>
      <c r="W38" s="5">
        <v>12.2</v>
      </c>
      <c r="X38" s="3">
        <f t="shared" si="21"/>
        <v>15.774999999999999</v>
      </c>
      <c r="Y38" s="9">
        <v>40</v>
      </c>
      <c r="Z38" s="8">
        <f t="shared" si="22"/>
        <v>-3940</v>
      </c>
      <c r="AA38" s="9">
        <v>-3590</v>
      </c>
      <c r="AB38" s="10">
        <f t="shared" si="23"/>
        <v>0.00797618538933755</v>
      </c>
      <c r="AC38" s="11">
        <f t="shared" si="24"/>
        <v>1.0306513409961686</v>
      </c>
      <c r="AD38" s="7">
        <f t="shared" si="25"/>
        <v>705909730.494985</v>
      </c>
      <c r="AE38" s="11">
        <f t="shared" si="26"/>
        <v>0.705909730494985</v>
      </c>
    </row>
    <row r="39" spans="1:31" ht="11.25">
      <c r="A39" s="1" t="s">
        <v>209</v>
      </c>
      <c r="B39" s="7" t="s">
        <v>72</v>
      </c>
      <c r="C39" s="6">
        <v>-13.99497</v>
      </c>
      <c r="D39" s="6">
        <v>189.61896</v>
      </c>
      <c r="E39" s="6">
        <f t="shared" si="14"/>
        <v>9.618959999999987</v>
      </c>
      <c r="F39" s="6">
        <f t="shared" si="15"/>
        <v>-170.38104</v>
      </c>
      <c r="G39" s="7">
        <v>3450</v>
      </c>
      <c r="H39" s="7">
        <v>3120</v>
      </c>
      <c r="I39" s="7">
        <f t="shared" si="16"/>
        <v>8454025.821150001</v>
      </c>
      <c r="J39" s="10">
        <f t="shared" si="17"/>
        <v>8.454025821150001</v>
      </c>
      <c r="K39" s="7">
        <v>140</v>
      </c>
      <c r="L39" s="7">
        <v>190</v>
      </c>
      <c r="M39" s="7">
        <f t="shared" si="18"/>
        <v>20891.5911225</v>
      </c>
      <c r="N39" s="10">
        <f t="shared" si="19"/>
        <v>0.0208915911225</v>
      </c>
      <c r="O39" s="7">
        <v>410</v>
      </c>
      <c r="P39" s="7">
        <v>340</v>
      </c>
      <c r="Q39" s="7">
        <f t="shared" si="20"/>
        <v>375</v>
      </c>
      <c r="R39" s="11">
        <f>(11000/21158)</f>
        <v>0.5198979109556668</v>
      </c>
      <c r="S39" s="10">
        <f t="shared" si="7"/>
        <v>-0.6541228117662123</v>
      </c>
      <c r="T39" s="4">
        <v>12</v>
      </c>
      <c r="U39" s="5">
        <v>14</v>
      </c>
      <c r="V39" s="5">
        <v>13.8</v>
      </c>
      <c r="W39" s="5">
        <v>11.8</v>
      </c>
      <c r="X39" s="3">
        <f t="shared" si="21"/>
        <v>12.899999999999999</v>
      </c>
      <c r="Y39" s="9">
        <v>35</v>
      </c>
      <c r="Z39" s="8">
        <f t="shared" si="22"/>
        <v>-3755</v>
      </c>
      <c r="AA39" s="9">
        <v>-3380</v>
      </c>
      <c r="AB39" s="10">
        <f t="shared" si="23"/>
        <v>0.0024712002972872536</v>
      </c>
      <c r="AC39" s="11">
        <f t="shared" si="24"/>
        <v>1.1057692307692308</v>
      </c>
      <c r="AD39" s="7">
        <f t="shared" si="25"/>
        <v>1111897114.547774</v>
      </c>
      <c r="AE39" s="11">
        <f t="shared" si="26"/>
        <v>1.111897114547774</v>
      </c>
    </row>
    <row r="40" spans="1:31" ht="11.25">
      <c r="A40" s="1" t="s">
        <v>210</v>
      </c>
      <c r="B40" s="7" t="s">
        <v>73</v>
      </c>
      <c r="C40" s="6">
        <v>-14.43339</v>
      </c>
      <c r="D40" s="6">
        <v>190.12888</v>
      </c>
      <c r="E40" s="6">
        <f t="shared" si="14"/>
        <v>10.12888000000001</v>
      </c>
      <c r="F40" s="6">
        <f t="shared" si="15"/>
        <v>-169.87112</v>
      </c>
      <c r="G40" s="7">
        <v>3170</v>
      </c>
      <c r="H40" s="7">
        <v>2400</v>
      </c>
      <c r="I40" s="7">
        <f t="shared" si="16"/>
        <v>5975309.2203</v>
      </c>
      <c r="J40" s="10">
        <f t="shared" si="17"/>
        <v>5.9753092203</v>
      </c>
      <c r="K40" s="7">
        <v>990</v>
      </c>
      <c r="L40" s="7">
        <v>150</v>
      </c>
      <c r="M40" s="7">
        <f t="shared" si="18"/>
        <v>116631.62713125</v>
      </c>
      <c r="N40" s="10">
        <f t="shared" si="19"/>
        <v>0.11663162713125</v>
      </c>
      <c r="O40" s="7">
        <v>390</v>
      </c>
      <c r="P40" s="7">
        <v>370</v>
      </c>
      <c r="Q40" s="7">
        <f t="shared" si="20"/>
        <v>380</v>
      </c>
      <c r="R40" s="11">
        <f>(10000/21158)</f>
        <v>0.47263446450515173</v>
      </c>
      <c r="S40" s="10">
        <f t="shared" si="7"/>
        <v>-0.7494329915705371</v>
      </c>
      <c r="T40" s="4">
        <v>19.9</v>
      </c>
      <c r="U40" s="5">
        <v>18.3</v>
      </c>
      <c r="V40" s="5">
        <v>16.1</v>
      </c>
      <c r="W40" s="5">
        <v>19</v>
      </c>
      <c r="X40" s="3">
        <f t="shared" si="21"/>
        <v>18.325000000000003</v>
      </c>
      <c r="Y40" s="9">
        <v>155</v>
      </c>
      <c r="Z40" s="8">
        <f t="shared" si="22"/>
        <v>-3390</v>
      </c>
      <c r="AA40" s="9">
        <v>-3010</v>
      </c>
      <c r="AB40" s="10">
        <f t="shared" si="23"/>
        <v>0.019518927444794953</v>
      </c>
      <c r="AC40" s="11">
        <f t="shared" si="24"/>
        <v>1.3208333333333333</v>
      </c>
      <c r="AD40" s="7">
        <f t="shared" si="25"/>
        <v>877388615.2317376</v>
      </c>
      <c r="AE40" s="11">
        <f t="shared" si="26"/>
        <v>0.8773886152317376</v>
      </c>
    </row>
    <row r="41" spans="1:31" ht="11.25">
      <c r="A41" s="1" t="s">
        <v>211</v>
      </c>
      <c r="B41" s="7" t="s">
        <v>74</v>
      </c>
      <c r="C41" s="6">
        <v>-14.50618</v>
      </c>
      <c r="D41" s="6">
        <v>191.47757</v>
      </c>
      <c r="E41" s="6">
        <f t="shared" si="14"/>
        <v>11.477569999999986</v>
      </c>
      <c r="F41" s="6">
        <f t="shared" si="15"/>
        <v>-168.52243</v>
      </c>
      <c r="G41" s="7">
        <v>3530</v>
      </c>
      <c r="H41" s="7">
        <v>2890</v>
      </c>
      <c r="I41" s="7">
        <f t="shared" si="16"/>
        <v>8012396.434376251</v>
      </c>
      <c r="J41" s="10">
        <f t="shared" si="17"/>
        <v>8.012396434376251</v>
      </c>
      <c r="K41" s="7">
        <v>690</v>
      </c>
      <c r="L41" s="7">
        <v>210</v>
      </c>
      <c r="M41" s="7">
        <f t="shared" si="18"/>
        <v>113804.19374625</v>
      </c>
      <c r="N41" s="10">
        <f t="shared" si="19"/>
        <v>0.11380419374625</v>
      </c>
      <c r="O41" s="7">
        <v>410</v>
      </c>
      <c r="P41" s="7">
        <v>370</v>
      </c>
      <c r="Q41" s="7">
        <f t="shared" si="20"/>
        <v>390</v>
      </c>
      <c r="R41" s="11">
        <f>(9000/21158)</f>
        <v>0.42537101805463656</v>
      </c>
      <c r="S41" s="10">
        <f t="shared" si="7"/>
        <v>-0.8547935072283634</v>
      </c>
      <c r="T41" s="4">
        <v>16.1</v>
      </c>
      <c r="U41" s="5">
        <v>12.5</v>
      </c>
      <c r="V41" s="5">
        <v>11.9</v>
      </c>
      <c r="W41" s="5">
        <v>15.6</v>
      </c>
      <c r="X41" s="3">
        <f t="shared" si="21"/>
        <v>14.025</v>
      </c>
      <c r="Y41" s="9">
        <v>15</v>
      </c>
      <c r="Z41" s="8">
        <f t="shared" si="22"/>
        <v>-4980</v>
      </c>
      <c r="AA41" s="9">
        <v>-4590</v>
      </c>
      <c r="AB41" s="10">
        <f t="shared" si="23"/>
        <v>0.014203515100424438</v>
      </c>
      <c r="AC41" s="11">
        <f t="shared" si="24"/>
        <v>1.221453287197232</v>
      </c>
      <c r="AD41" s="7">
        <f t="shared" si="25"/>
        <v>1180543783.1957994</v>
      </c>
      <c r="AE41" s="11">
        <f t="shared" si="26"/>
        <v>1.1805437831957994</v>
      </c>
    </row>
    <row r="42" spans="1:31" s="65" customFormat="1" ht="11.25">
      <c r="A42" s="1" t="s">
        <v>212</v>
      </c>
      <c r="B42" s="58" t="s">
        <v>161</v>
      </c>
      <c r="C42" s="59">
        <v>-14.05291</v>
      </c>
      <c r="D42" s="59">
        <v>189.19639</v>
      </c>
      <c r="E42" s="59">
        <f t="shared" si="14"/>
        <v>9.196390000000008</v>
      </c>
      <c r="F42" s="59">
        <f t="shared" si="15"/>
        <v>-170.80361</v>
      </c>
      <c r="G42" s="58">
        <v>3000</v>
      </c>
      <c r="H42" s="58">
        <v>1900</v>
      </c>
      <c r="I42" s="58">
        <f t="shared" si="16"/>
        <v>4476769.52625</v>
      </c>
      <c r="J42" s="60">
        <f t="shared" si="17"/>
        <v>4.47676952625</v>
      </c>
      <c r="K42" s="58">
        <v>310</v>
      </c>
      <c r="L42" s="58">
        <v>210</v>
      </c>
      <c r="M42" s="58">
        <f t="shared" si="18"/>
        <v>51129.42037875</v>
      </c>
      <c r="N42" s="60">
        <f t="shared" si="19"/>
        <v>0.05112942037875</v>
      </c>
      <c r="O42" s="58">
        <v>400</v>
      </c>
      <c r="P42" s="58">
        <v>400</v>
      </c>
      <c r="Q42" s="58">
        <f t="shared" si="20"/>
        <v>400</v>
      </c>
      <c r="R42" s="61">
        <f>(8000/21158)</f>
        <v>0.3781075716041214</v>
      </c>
      <c r="S42" s="60">
        <f t="shared" si="7"/>
        <v>-0.9725765428847468</v>
      </c>
      <c r="T42" s="62">
        <v>16.5</v>
      </c>
      <c r="U42" s="5">
        <v>17.7</v>
      </c>
      <c r="V42" s="5">
        <v>23.5</v>
      </c>
      <c r="W42" s="5">
        <v>22.7</v>
      </c>
      <c r="X42" s="63">
        <f t="shared" si="21"/>
        <v>20.1</v>
      </c>
      <c r="Y42" s="9">
        <v>150</v>
      </c>
      <c r="Z42" s="64">
        <f t="shared" si="22"/>
        <v>-3500</v>
      </c>
      <c r="AA42" s="9">
        <v>-3100</v>
      </c>
      <c r="AB42" s="60">
        <f t="shared" si="23"/>
        <v>0.011421052631578948</v>
      </c>
      <c r="AC42" s="61">
        <f t="shared" si="24"/>
        <v>1.5789473684210527</v>
      </c>
      <c r="AD42" s="58">
        <f t="shared" si="25"/>
        <v>667510437.8929917</v>
      </c>
      <c r="AE42" s="61">
        <f t="shared" si="26"/>
        <v>0.6675104378929917</v>
      </c>
    </row>
    <row r="43" spans="1:31" ht="11.25">
      <c r="A43" s="1" t="s">
        <v>213</v>
      </c>
      <c r="B43" s="7" t="s">
        <v>75</v>
      </c>
      <c r="C43" s="6">
        <v>-14.02459</v>
      </c>
      <c r="D43" s="6">
        <v>189.54111</v>
      </c>
      <c r="E43" s="6">
        <f t="shared" si="14"/>
        <v>9.541110000000003</v>
      </c>
      <c r="F43" s="6">
        <f t="shared" si="15"/>
        <v>-170.45889</v>
      </c>
      <c r="G43" s="7">
        <v>4120</v>
      </c>
      <c r="H43" s="7">
        <v>2980</v>
      </c>
      <c r="I43" s="7">
        <f t="shared" si="16"/>
        <v>9642804.479910001</v>
      </c>
      <c r="J43" s="10">
        <f t="shared" si="17"/>
        <v>9.642804479910001</v>
      </c>
      <c r="K43" s="7">
        <v>370</v>
      </c>
      <c r="L43" s="7">
        <v>250</v>
      </c>
      <c r="M43" s="7">
        <f t="shared" si="18"/>
        <v>72649.33003125</v>
      </c>
      <c r="N43" s="10">
        <f t="shared" si="19"/>
        <v>0.07264933003125</v>
      </c>
      <c r="O43" s="7">
        <v>420</v>
      </c>
      <c r="P43" s="7">
        <v>460</v>
      </c>
      <c r="Q43" s="7">
        <f t="shared" si="20"/>
        <v>440</v>
      </c>
      <c r="R43" s="11">
        <f>(7000/21158)</f>
        <v>0.3308441251536062</v>
      </c>
      <c r="S43" s="10">
        <f t="shared" si="7"/>
        <v>-1.1061079355092693</v>
      </c>
      <c r="T43" s="4">
        <v>7.4</v>
      </c>
      <c r="U43" s="5">
        <v>18.3</v>
      </c>
      <c r="V43" s="5">
        <v>14.5</v>
      </c>
      <c r="W43" s="5">
        <v>17.8</v>
      </c>
      <c r="X43" s="3">
        <f t="shared" si="21"/>
        <v>14.5</v>
      </c>
      <c r="Y43" s="9">
        <v>20</v>
      </c>
      <c r="Z43" s="8">
        <f t="shared" si="22"/>
        <v>-3840</v>
      </c>
      <c r="AA43" s="9">
        <v>-3400</v>
      </c>
      <c r="AB43" s="10">
        <f t="shared" si="23"/>
        <v>0.007534045741838796</v>
      </c>
      <c r="AC43" s="11">
        <f t="shared" si="24"/>
        <v>1.3825503355704698</v>
      </c>
      <c r="AD43" s="7">
        <f t="shared" si="25"/>
        <v>1547690972.4382973</v>
      </c>
      <c r="AE43" s="11">
        <f t="shared" si="26"/>
        <v>1.5476909724382972</v>
      </c>
    </row>
    <row r="44" spans="1:31" ht="11.25">
      <c r="A44" s="1" t="s">
        <v>214</v>
      </c>
      <c r="B44" s="7" t="s">
        <v>76</v>
      </c>
      <c r="C44" s="6">
        <v>-14.08271</v>
      </c>
      <c r="D44" s="6">
        <v>189.80431</v>
      </c>
      <c r="E44" s="6">
        <f t="shared" si="14"/>
        <v>9.804309999999987</v>
      </c>
      <c r="F44" s="6">
        <f t="shared" si="15"/>
        <v>-170.19569</v>
      </c>
      <c r="G44" s="7">
        <v>3050</v>
      </c>
      <c r="H44" s="7">
        <v>2930</v>
      </c>
      <c r="I44" s="7">
        <f t="shared" si="16"/>
        <v>7018710.679181251</v>
      </c>
      <c r="J44" s="10">
        <f t="shared" si="17"/>
        <v>7.01871067918125</v>
      </c>
      <c r="K44" s="7">
        <v>220</v>
      </c>
      <c r="L44" s="7">
        <v>150</v>
      </c>
      <c r="M44" s="7">
        <f t="shared" si="18"/>
        <v>25918.139362500002</v>
      </c>
      <c r="N44" s="10">
        <f t="shared" si="19"/>
        <v>0.025918139362500002</v>
      </c>
      <c r="O44" s="7">
        <v>470</v>
      </c>
      <c r="P44" s="7">
        <v>450</v>
      </c>
      <c r="Q44" s="7">
        <f t="shared" si="20"/>
        <v>460</v>
      </c>
      <c r="R44" s="11">
        <f>(6000/21158)</f>
        <v>0.283580678703091</v>
      </c>
      <c r="S44" s="10">
        <f t="shared" si="7"/>
        <v>-1.2602586153365278</v>
      </c>
      <c r="T44" s="4">
        <v>17.3</v>
      </c>
      <c r="U44" s="5">
        <v>17.7</v>
      </c>
      <c r="V44" s="5">
        <v>17.8</v>
      </c>
      <c r="W44" s="5">
        <v>15</v>
      </c>
      <c r="X44" s="3">
        <f t="shared" si="21"/>
        <v>16.95</v>
      </c>
      <c r="Y44" s="9">
        <v>20</v>
      </c>
      <c r="Z44" s="8">
        <f t="shared" si="22"/>
        <v>-2640</v>
      </c>
      <c r="AA44" s="9">
        <v>-2180</v>
      </c>
      <c r="AB44" s="10">
        <f t="shared" si="23"/>
        <v>0.003692720863872881</v>
      </c>
      <c r="AC44" s="11">
        <f t="shared" si="24"/>
        <v>1.0409556313993173</v>
      </c>
      <c r="AD44" s="7">
        <f t="shared" si="25"/>
        <v>1145574824.0187504</v>
      </c>
      <c r="AE44" s="11">
        <f t="shared" si="26"/>
        <v>1.1455748240187504</v>
      </c>
    </row>
    <row r="45" spans="1:31" ht="11.25">
      <c r="A45" s="1" t="s">
        <v>215</v>
      </c>
      <c r="B45" s="7" t="s">
        <v>77</v>
      </c>
      <c r="C45" s="6">
        <v>-13.55448</v>
      </c>
      <c r="D45" s="6">
        <v>189.87521</v>
      </c>
      <c r="E45" s="6">
        <f t="shared" si="14"/>
        <v>9.87521000000001</v>
      </c>
      <c r="F45" s="6">
        <f t="shared" si="15"/>
        <v>-170.12479</v>
      </c>
      <c r="G45" s="7">
        <v>3200</v>
      </c>
      <c r="H45" s="7">
        <v>2970</v>
      </c>
      <c r="I45" s="7">
        <f t="shared" si="16"/>
        <v>7464424.1364</v>
      </c>
      <c r="J45" s="10">
        <f t="shared" si="17"/>
        <v>7.4644241364</v>
      </c>
      <c r="K45" s="7">
        <v>240</v>
      </c>
      <c r="L45" s="7">
        <v>230</v>
      </c>
      <c r="M45" s="7">
        <f t="shared" si="18"/>
        <v>43353.97857</v>
      </c>
      <c r="N45" s="10">
        <f t="shared" si="19"/>
        <v>0.04335397857</v>
      </c>
      <c r="O45" s="7">
        <v>480</v>
      </c>
      <c r="P45" s="7">
        <v>510</v>
      </c>
      <c r="Q45" s="7">
        <f t="shared" si="20"/>
        <v>495</v>
      </c>
      <c r="R45" s="11">
        <f>(5000/21158)</f>
        <v>0.23631723225257587</v>
      </c>
      <c r="S45" s="10">
        <f t="shared" si="7"/>
        <v>-1.4425801721304825</v>
      </c>
      <c r="T45" s="4">
        <v>18.4</v>
      </c>
      <c r="U45" s="5">
        <v>17.4</v>
      </c>
      <c r="V45" s="5">
        <v>18.3</v>
      </c>
      <c r="W45" s="5">
        <v>17.4</v>
      </c>
      <c r="X45" s="3">
        <f t="shared" si="21"/>
        <v>17.875</v>
      </c>
      <c r="Y45" s="9">
        <v>10</v>
      </c>
      <c r="Z45" s="8">
        <f t="shared" si="22"/>
        <v>-4835</v>
      </c>
      <c r="AA45" s="9">
        <v>-4340</v>
      </c>
      <c r="AB45" s="10">
        <f t="shared" si="23"/>
        <v>0.005808080808080808</v>
      </c>
      <c r="AC45" s="11">
        <f t="shared" si="24"/>
        <v>1.0774410774410774</v>
      </c>
      <c r="AD45" s="7">
        <f t="shared" si="25"/>
        <v>1332646852.9918737</v>
      </c>
      <c r="AE45" s="11">
        <f t="shared" si="26"/>
        <v>1.3326468529918738</v>
      </c>
    </row>
    <row r="46" spans="1:31" ht="11.25">
      <c r="A46" s="1" t="s">
        <v>216</v>
      </c>
      <c r="B46" s="7" t="s">
        <v>79</v>
      </c>
      <c r="C46" s="6">
        <v>-13.7151</v>
      </c>
      <c r="D46" s="6">
        <v>189.72246</v>
      </c>
      <c r="E46" s="6">
        <f t="shared" si="14"/>
        <v>9.722460000000012</v>
      </c>
      <c r="F46" s="6">
        <f t="shared" si="15"/>
        <v>-170.27754</v>
      </c>
      <c r="G46" s="7">
        <v>4120</v>
      </c>
      <c r="H46" s="7">
        <v>2970</v>
      </c>
      <c r="I46" s="7">
        <f t="shared" si="16"/>
        <v>9610446.075615</v>
      </c>
      <c r="J46" s="10">
        <f t="shared" si="17"/>
        <v>9.610446075615</v>
      </c>
      <c r="K46" s="7">
        <v>230</v>
      </c>
      <c r="L46" s="7">
        <v>330</v>
      </c>
      <c r="M46" s="7">
        <f t="shared" si="18"/>
        <v>59611.720533750005</v>
      </c>
      <c r="N46" s="10">
        <f t="shared" si="19"/>
        <v>0.05961172053375</v>
      </c>
      <c r="O46" s="7">
        <v>600</v>
      </c>
      <c r="P46" s="7">
        <v>460</v>
      </c>
      <c r="Q46" s="7">
        <f t="shared" si="20"/>
        <v>530</v>
      </c>
      <c r="R46" s="11">
        <f>(3000/21158)</f>
        <v>0.1417903393515455</v>
      </c>
      <c r="S46" s="10">
        <f t="shared" si="7"/>
        <v>-1.9534057958964732</v>
      </c>
      <c r="T46" s="4">
        <v>18.7</v>
      </c>
      <c r="U46" s="5">
        <v>13.2</v>
      </c>
      <c r="V46" s="5">
        <v>20.6</v>
      </c>
      <c r="W46" s="5">
        <v>17.9</v>
      </c>
      <c r="X46" s="3">
        <f t="shared" si="21"/>
        <v>17.6</v>
      </c>
      <c r="Y46" s="9">
        <v>80</v>
      </c>
      <c r="Z46" s="8">
        <f t="shared" si="22"/>
        <v>-4120</v>
      </c>
      <c r="AA46" s="9">
        <v>-3590</v>
      </c>
      <c r="AB46" s="10">
        <f t="shared" si="23"/>
        <v>0.006202804746494067</v>
      </c>
      <c r="AC46" s="11">
        <f t="shared" si="24"/>
        <v>1.387205387205387</v>
      </c>
      <c r="AD46" s="7">
        <f t="shared" si="25"/>
        <v>1842095599.0575633</v>
      </c>
      <c r="AE46" s="11">
        <f t="shared" si="26"/>
        <v>1.8420955990575634</v>
      </c>
    </row>
    <row r="47" spans="1:31" ht="11.25">
      <c r="A47" s="1" t="s">
        <v>217</v>
      </c>
      <c r="B47" s="7" t="s">
        <v>78</v>
      </c>
      <c r="C47" s="6">
        <v>-14.14285</v>
      </c>
      <c r="D47" s="6">
        <v>189.19954</v>
      </c>
      <c r="E47" s="6">
        <f t="shared" si="14"/>
        <v>9.199540000000013</v>
      </c>
      <c r="F47" s="6">
        <f t="shared" si="15"/>
        <v>-170.80046</v>
      </c>
      <c r="G47" s="7">
        <v>3350</v>
      </c>
      <c r="H47" s="7">
        <v>2870</v>
      </c>
      <c r="I47" s="7">
        <f t="shared" si="16"/>
        <v>7551210.633356251</v>
      </c>
      <c r="J47" s="10">
        <f t="shared" si="17"/>
        <v>7.551210633356251</v>
      </c>
      <c r="K47" s="7">
        <v>300</v>
      </c>
      <c r="L47" s="7">
        <v>350</v>
      </c>
      <c r="M47" s="7">
        <f t="shared" si="18"/>
        <v>82466.80706250001</v>
      </c>
      <c r="N47" s="10">
        <f t="shared" si="19"/>
        <v>0.08246680706250001</v>
      </c>
      <c r="O47" s="7">
        <v>530</v>
      </c>
      <c r="P47" s="7">
        <v>530</v>
      </c>
      <c r="Q47" s="7">
        <f t="shared" si="20"/>
        <v>530</v>
      </c>
      <c r="R47" s="11">
        <f>(3000/21158)</f>
        <v>0.1417903393515455</v>
      </c>
      <c r="S47" s="10">
        <f t="shared" si="7"/>
        <v>-1.9534057958964732</v>
      </c>
      <c r="T47" s="4">
        <v>19</v>
      </c>
      <c r="U47" s="5">
        <v>18.3</v>
      </c>
      <c r="V47" s="5">
        <v>23.5</v>
      </c>
      <c r="W47" s="5">
        <v>17.9</v>
      </c>
      <c r="X47" s="3">
        <f t="shared" si="21"/>
        <v>19.674999999999997</v>
      </c>
      <c r="Y47" s="9">
        <v>90</v>
      </c>
      <c r="Z47" s="8">
        <f t="shared" si="22"/>
        <v>-2920</v>
      </c>
      <c r="AA47" s="9">
        <v>-2390</v>
      </c>
      <c r="AB47" s="10">
        <f t="shared" si="23"/>
        <v>0.010921004732435385</v>
      </c>
      <c r="AC47" s="11">
        <f t="shared" si="24"/>
        <v>1.1672473867595818</v>
      </c>
      <c r="AD47" s="7">
        <f t="shared" si="25"/>
        <v>1488029098.8247902</v>
      </c>
      <c r="AE47" s="11">
        <f t="shared" si="26"/>
        <v>1.4880290988247902</v>
      </c>
    </row>
    <row r="48" spans="1:31" ht="11.25">
      <c r="A48" s="1" t="s">
        <v>218</v>
      </c>
      <c r="B48" s="7" t="s">
        <v>80</v>
      </c>
      <c r="C48" s="6">
        <v>-13.87163</v>
      </c>
      <c r="D48" s="6">
        <v>191.31155</v>
      </c>
      <c r="E48" s="6">
        <f t="shared" si="14"/>
        <v>11.311550000000011</v>
      </c>
      <c r="F48" s="6">
        <f t="shared" si="15"/>
        <v>-168.68845</v>
      </c>
      <c r="G48" s="7">
        <v>4650</v>
      </c>
      <c r="H48" s="7">
        <v>3390</v>
      </c>
      <c r="I48" s="7">
        <f t="shared" si="16"/>
        <v>12380623.934568752</v>
      </c>
      <c r="J48" s="10">
        <f t="shared" si="17"/>
        <v>12.380623934568751</v>
      </c>
      <c r="K48" s="7">
        <v>230</v>
      </c>
      <c r="L48" s="7">
        <v>120</v>
      </c>
      <c r="M48" s="7">
        <f t="shared" si="18"/>
        <v>21676.989285</v>
      </c>
      <c r="N48" s="10">
        <f t="shared" si="19"/>
        <v>0.021676989285</v>
      </c>
      <c r="O48" s="7">
        <v>580</v>
      </c>
      <c r="P48" s="7">
        <v>510</v>
      </c>
      <c r="Q48" s="7">
        <f t="shared" si="20"/>
        <v>545</v>
      </c>
      <c r="R48" s="11">
        <f>(2000/21158)</f>
        <v>0.09452689290103035</v>
      </c>
      <c r="S48" s="10">
        <f t="shared" si="7"/>
        <v>-2.3588709040046374</v>
      </c>
      <c r="T48" s="4">
        <v>12.4</v>
      </c>
      <c r="U48" s="5">
        <v>13.6</v>
      </c>
      <c r="V48" s="5">
        <v>16.4</v>
      </c>
      <c r="W48" s="5">
        <v>17.6</v>
      </c>
      <c r="X48" s="3">
        <f t="shared" si="21"/>
        <v>15</v>
      </c>
      <c r="Y48" s="9">
        <v>115</v>
      </c>
      <c r="Z48" s="8">
        <f t="shared" si="22"/>
        <v>-5175</v>
      </c>
      <c r="AA48" s="9">
        <v>-4630</v>
      </c>
      <c r="AB48" s="10">
        <f t="shared" si="23"/>
        <v>0.0017508801979255874</v>
      </c>
      <c r="AC48" s="11">
        <f t="shared" si="24"/>
        <v>1.3716814159292035</v>
      </c>
      <c r="AD48" s="7">
        <f t="shared" si="25"/>
        <v>2347196882.8397584</v>
      </c>
      <c r="AE48" s="11">
        <f t="shared" si="26"/>
        <v>2.3471968828397585</v>
      </c>
    </row>
    <row r="49" spans="1:31" ht="11.25">
      <c r="A49" s="1" t="s">
        <v>219</v>
      </c>
      <c r="B49" s="7" t="s">
        <v>81</v>
      </c>
      <c r="C49" s="6">
        <v>-14.3032</v>
      </c>
      <c r="D49" s="6">
        <v>190.78586</v>
      </c>
      <c r="E49" s="6">
        <f t="shared" si="14"/>
        <v>10.785860000000014</v>
      </c>
      <c r="F49" s="6">
        <f t="shared" si="15"/>
        <v>-169.21414</v>
      </c>
      <c r="G49" s="7">
        <v>4290</v>
      </c>
      <c r="H49" s="7">
        <v>3050</v>
      </c>
      <c r="I49" s="7">
        <f t="shared" si="16"/>
        <v>10276542.25723125</v>
      </c>
      <c r="J49" s="10">
        <f t="shared" si="17"/>
        <v>10.27654225723125</v>
      </c>
      <c r="K49" s="7">
        <v>280</v>
      </c>
      <c r="L49" s="7">
        <v>190</v>
      </c>
      <c r="M49" s="7">
        <f t="shared" si="18"/>
        <v>41783.182245</v>
      </c>
      <c r="N49" s="10">
        <f t="shared" si="19"/>
        <v>0.041783182245</v>
      </c>
      <c r="O49" s="7">
        <v>670</v>
      </c>
      <c r="P49" s="7">
        <v>520</v>
      </c>
      <c r="Q49" s="7">
        <f t="shared" si="20"/>
        <v>595</v>
      </c>
      <c r="R49" s="11">
        <f>(1000/21158)</f>
        <v>0.047263446450515174</v>
      </c>
      <c r="S49" s="10">
        <f t="shared" si="7"/>
        <v>-3.052018084564583</v>
      </c>
      <c r="T49" s="4">
        <v>20.4</v>
      </c>
      <c r="U49" s="5">
        <v>13.4</v>
      </c>
      <c r="V49" s="5">
        <v>18.6</v>
      </c>
      <c r="W49" s="5">
        <v>19.7</v>
      </c>
      <c r="X49" s="3">
        <f t="shared" si="21"/>
        <v>18.025</v>
      </c>
      <c r="Y49" s="9">
        <v>25</v>
      </c>
      <c r="Z49" s="8">
        <f t="shared" si="22"/>
        <v>-3915</v>
      </c>
      <c r="AA49" s="9">
        <v>-3320</v>
      </c>
      <c r="AB49" s="10">
        <f t="shared" si="23"/>
        <v>0.004065879475715541</v>
      </c>
      <c r="AC49" s="11">
        <f t="shared" si="24"/>
        <v>1.4065573770491804</v>
      </c>
      <c r="AD49" s="7">
        <f t="shared" si="25"/>
        <v>2176430952.436153</v>
      </c>
      <c r="AE49" s="11">
        <f t="shared" si="26"/>
        <v>2.176430952436153</v>
      </c>
    </row>
    <row r="50" spans="1:31" ht="11.25">
      <c r="A50" s="1" t="s">
        <v>220</v>
      </c>
      <c r="B50" s="7" t="s">
        <v>82</v>
      </c>
      <c r="C50" s="6">
        <v>-14.66922</v>
      </c>
      <c r="D50" s="6">
        <v>190.38315</v>
      </c>
      <c r="E50" s="6">
        <f t="shared" si="14"/>
        <v>10.38315</v>
      </c>
      <c r="F50" s="6">
        <f t="shared" si="15"/>
        <v>-169.61685</v>
      </c>
      <c r="G50" s="7">
        <v>5330</v>
      </c>
      <c r="H50" s="7">
        <v>3890</v>
      </c>
      <c r="I50" s="7">
        <f t="shared" si="16"/>
        <v>16284209.881826252</v>
      </c>
      <c r="J50" s="10">
        <f t="shared" si="17"/>
        <v>16.284209881826254</v>
      </c>
      <c r="K50" s="7">
        <v>290</v>
      </c>
      <c r="L50" s="7">
        <v>260</v>
      </c>
      <c r="M50" s="7">
        <f t="shared" si="18"/>
        <v>59219.021452500005</v>
      </c>
      <c r="N50" s="10">
        <f t="shared" si="19"/>
        <v>0.059219021452500006</v>
      </c>
      <c r="O50" s="7">
        <v>710</v>
      </c>
      <c r="P50" s="7">
        <v>540</v>
      </c>
      <c r="Q50" s="7">
        <f t="shared" si="20"/>
        <v>625</v>
      </c>
      <c r="R50" s="22" t="s">
        <v>28</v>
      </c>
      <c r="S50" s="22" t="s">
        <v>28</v>
      </c>
      <c r="T50" s="4">
        <v>15.3</v>
      </c>
      <c r="U50" s="5">
        <v>14.3</v>
      </c>
      <c r="V50" s="5">
        <v>16.4</v>
      </c>
      <c r="W50" s="5">
        <v>17.3</v>
      </c>
      <c r="X50" s="3">
        <f t="shared" si="21"/>
        <v>15.825</v>
      </c>
      <c r="Y50" s="9">
        <v>50</v>
      </c>
      <c r="Z50" s="8">
        <f t="shared" si="22"/>
        <v>-4125</v>
      </c>
      <c r="AA50" s="9">
        <v>-3500</v>
      </c>
      <c r="AB50" s="10">
        <f t="shared" si="23"/>
        <v>0.0036365916358392374</v>
      </c>
      <c r="AC50" s="11">
        <f t="shared" si="24"/>
        <v>1.3701799485861184</v>
      </c>
      <c r="AD50" s="7">
        <f t="shared" si="25"/>
        <v>3609465518.9597254</v>
      </c>
      <c r="AE50" s="11">
        <f t="shared" si="26"/>
        <v>3.6094655189597256</v>
      </c>
    </row>
    <row r="51" spans="1:31" ht="11.25">
      <c r="A51" s="1" t="s">
        <v>221</v>
      </c>
      <c r="B51" s="7" t="s">
        <v>83</v>
      </c>
      <c r="C51" s="6">
        <v>-14.65959</v>
      </c>
      <c r="D51" s="6">
        <v>189.96523</v>
      </c>
      <c r="E51" s="6">
        <f t="shared" si="14"/>
        <v>9.965229999999991</v>
      </c>
      <c r="F51" s="6">
        <f t="shared" si="15"/>
        <v>-170.03477</v>
      </c>
      <c r="G51" s="7">
        <v>4140</v>
      </c>
      <c r="H51" s="7">
        <v>4070</v>
      </c>
      <c r="I51" s="7">
        <f t="shared" si="16"/>
        <v>13233801.9584925</v>
      </c>
      <c r="J51" s="10">
        <f t="shared" si="17"/>
        <v>13.233801958492501</v>
      </c>
      <c r="K51" s="7">
        <v>100</v>
      </c>
      <c r="L51" s="7">
        <v>310</v>
      </c>
      <c r="M51" s="7">
        <f t="shared" si="18"/>
        <v>24347.343037500003</v>
      </c>
      <c r="N51" s="10">
        <f t="shared" si="19"/>
        <v>0.024347343037500004</v>
      </c>
      <c r="O51" s="7">
        <v>640</v>
      </c>
      <c r="P51" s="7">
        <v>630</v>
      </c>
      <c r="Q51" s="7">
        <f t="shared" si="20"/>
        <v>635</v>
      </c>
      <c r="R51" s="23" t="s">
        <v>28</v>
      </c>
      <c r="S51" s="24" t="s">
        <v>28</v>
      </c>
      <c r="T51" s="4">
        <v>18.6</v>
      </c>
      <c r="U51" s="5">
        <v>14.8</v>
      </c>
      <c r="V51" s="5">
        <v>20.4</v>
      </c>
      <c r="W51" s="5">
        <v>14.3</v>
      </c>
      <c r="X51" s="3">
        <f t="shared" si="21"/>
        <v>17.025000000000002</v>
      </c>
      <c r="Y51" s="9">
        <v>10</v>
      </c>
      <c r="Z51" s="8">
        <f t="shared" si="22"/>
        <v>-3175</v>
      </c>
      <c r="AA51" s="9">
        <v>-2540</v>
      </c>
      <c r="AB51" s="10">
        <f t="shared" si="23"/>
        <v>0.0018397844484801008</v>
      </c>
      <c r="AC51" s="11">
        <f t="shared" si="24"/>
        <v>1.0171990171990173</v>
      </c>
      <c r="AD51" s="7">
        <f t="shared" si="25"/>
        <v>2926457383.0844765</v>
      </c>
      <c r="AE51" s="11">
        <f t="shared" si="26"/>
        <v>2.9264573830844767</v>
      </c>
    </row>
    <row r="52" spans="1:31" ht="12" thickBot="1">
      <c r="A52" s="1" t="s">
        <v>222</v>
      </c>
      <c r="B52" s="7" t="s">
        <v>84</v>
      </c>
      <c r="C52" s="6">
        <v>-14.53092</v>
      </c>
      <c r="D52" s="6">
        <v>191.58075</v>
      </c>
      <c r="E52" s="6">
        <f t="shared" si="14"/>
        <v>11.580749999999995</v>
      </c>
      <c r="F52" s="6">
        <f t="shared" si="15"/>
        <v>-168.41925</v>
      </c>
      <c r="G52" s="7">
        <v>6930</v>
      </c>
      <c r="H52" s="7">
        <v>6710</v>
      </c>
      <c r="I52" s="7">
        <f t="shared" si="16"/>
        <v>36521250.17569875</v>
      </c>
      <c r="J52" s="10">
        <f t="shared" si="17"/>
        <v>36.521250175698746</v>
      </c>
      <c r="K52" s="7">
        <v>210</v>
      </c>
      <c r="L52" s="7">
        <v>320</v>
      </c>
      <c r="M52" s="7">
        <f t="shared" si="18"/>
        <v>52778.75652</v>
      </c>
      <c r="N52" s="10">
        <f t="shared" si="19"/>
        <v>0.052778756520000004</v>
      </c>
      <c r="O52" s="7">
        <v>850</v>
      </c>
      <c r="P52" s="7">
        <v>850</v>
      </c>
      <c r="Q52" s="7">
        <f t="shared" si="20"/>
        <v>850</v>
      </c>
      <c r="R52" s="23" t="s">
        <v>28</v>
      </c>
      <c r="S52" s="25" t="s">
        <v>28</v>
      </c>
      <c r="T52" s="4">
        <v>13.6</v>
      </c>
      <c r="U52" s="5">
        <v>14.8</v>
      </c>
      <c r="V52" s="5">
        <v>14.7</v>
      </c>
      <c r="W52" s="5">
        <v>13.1</v>
      </c>
      <c r="X52" s="3">
        <f t="shared" si="21"/>
        <v>14.049999999999999</v>
      </c>
      <c r="Y52" s="9">
        <v>45</v>
      </c>
      <c r="Z52" s="8">
        <f t="shared" si="22"/>
        <v>-4950</v>
      </c>
      <c r="AA52" s="9">
        <v>-4100</v>
      </c>
      <c r="AB52" s="10">
        <f t="shared" si="23"/>
        <v>0.0014451519667615048</v>
      </c>
      <c r="AC52" s="11">
        <f t="shared" si="24"/>
        <v>1.0327868852459017</v>
      </c>
      <c r="AD52" s="7">
        <f t="shared" si="25"/>
        <v>10756010471.051447</v>
      </c>
      <c r="AE52" s="11">
        <f t="shared" si="26"/>
        <v>10.756010471051447</v>
      </c>
    </row>
    <row r="53" spans="2:31" ht="11.25">
      <c r="B53" s="26"/>
      <c r="C53" s="13"/>
      <c r="D53" s="13"/>
      <c r="E53" s="13"/>
      <c r="F53" s="13"/>
      <c r="G53" s="12"/>
      <c r="H53" s="27" t="s">
        <v>29</v>
      </c>
      <c r="I53" s="28">
        <f>SUM(I2:I52)</f>
        <v>340512122.2454438</v>
      </c>
      <c r="J53" s="29">
        <f t="shared" si="17"/>
        <v>340.51212224544383</v>
      </c>
      <c r="K53" s="12"/>
      <c r="L53" s="27" t="s">
        <v>29</v>
      </c>
      <c r="M53" s="28">
        <f>SUM(M2:M52)</f>
        <v>4583740.7559825005</v>
      </c>
      <c r="N53" s="29">
        <f>SUM(N2:N52)</f>
        <v>4.5837407559825</v>
      </c>
      <c r="O53" s="12"/>
      <c r="P53" s="27" t="s">
        <v>29</v>
      </c>
      <c r="Q53" s="52">
        <f>SUM(Q2:Q52)</f>
        <v>16565</v>
      </c>
      <c r="R53" s="54" t="s">
        <v>26</v>
      </c>
      <c r="S53" s="50">
        <f>SLOPE(S2:S49,Q2:Q49)</f>
        <v>-0.00720614222567509</v>
      </c>
      <c r="T53" s="14"/>
      <c r="U53" s="15"/>
      <c r="V53" s="15"/>
      <c r="W53" s="27" t="s">
        <v>29</v>
      </c>
      <c r="X53" s="36">
        <f aca="true" t="shared" si="27" ref="X53:AE53">SUM(X2:X52)</f>
        <v>684.5999999999998</v>
      </c>
      <c r="Y53" s="28">
        <f t="shared" si="27"/>
        <v>3340</v>
      </c>
      <c r="Z53" s="28">
        <f t="shared" si="27"/>
        <v>-214595</v>
      </c>
      <c r="AA53" s="28">
        <f t="shared" si="27"/>
        <v>-198030</v>
      </c>
      <c r="AB53" s="37">
        <f t="shared" si="27"/>
        <v>0.6118821069962799</v>
      </c>
      <c r="AC53" s="38">
        <f t="shared" si="27"/>
        <v>65.08972199320777</v>
      </c>
      <c r="AD53" s="28">
        <f t="shared" si="27"/>
        <v>51382981705.47175</v>
      </c>
      <c r="AE53" s="39">
        <f t="shared" si="27"/>
        <v>51.382981705471735</v>
      </c>
    </row>
    <row r="54" spans="2:31" ht="11.25">
      <c r="B54" s="26"/>
      <c r="C54" s="13"/>
      <c r="D54" s="13"/>
      <c r="E54" s="13"/>
      <c r="F54" s="13"/>
      <c r="G54" s="12"/>
      <c r="H54" s="30" t="s">
        <v>30</v>
      </c>
      <c r="I54" s="31">
        <f>AVERAGE(I2:I52)</f>
        <v>6676708.279322428</v>
      </c>
      <c r="J54" s="32">
        <f t="shared" si="17"/>
        <v>6.676708279322428</v>
      </c>
      <c r="K54" s="12"/>
      <c r="L54" s="30" t="s">
        <v>30</v>
      </c>
      <c r="M54" s="31">
        <f>AVERAGE(M2:M52)</f>
        <v>89877.26972514707</v>
      </c>
      <c r="N54" s="32">
        <f>AVERAGE(N2:N52)</f>
        <v>0.08987726972514706</v>
      </c>
      <c r="O54" s="12"/>
      <c r="P54" s="30" t="s">
        <v>30</v>
      </c>
      <c r="Q54" s="53">
        <f>AVERAGE(Q2:Q52)</f>
        <v>324.80392156862746</v>
      </c>
      <c r="R54" s="55" t="s">
        <v>27</v>
      </c>
      <c r="S54" s="51">
        <f>-1*(1/S53)</f>
        <v>138.77050558855953</v>
      </c>
      <c r="T54" s="14"/>
      <c r="U54" s="15"/>
      <c r="V54" s="15"/>
      <c r="W54" s="30" t="s">
        <v>30</v>
      </c>
      <c r="X54" s="40">
        <f aca="true" t="shared" si="28" ref="X54:AE54">AVERAGE(X2:X52)</f>
        <v>13.423529411764703</v>
      </c>
      <c r="Y54" s="31">
        <f t="shared" si="28"/>
        <v>65.49019607843137</v>
      </c>
      <c r="Z54" s="31">
        <f t="shared" si="28"/>
        <v>-4207.745098039216</v>
      </c>
      <c r="AA54" s="31">
        <f t="shared" si="28"/>
        <v>-3882.9411764705883</v>
      </c>
      <c r="AB54" s="41">
        <f t="shared" si="28"/>
        <v>0.011997688372476075</v>
      </c>
      <c r="AC54" s="42">
        <f t="shared" si="28"/>
        <v>1.2762690586903485</v>
      </c>
      <c r="AD54" s="31">
        <f t="shared" si="28"/>
        <v>1007509445.2053283</v>
      </c>
      <c r="AE54" s="43">
        <f t="shared" si="28"/>
        <v>1.0075094452053281</v>
      </c>
    </row>
    <row r="55" spans="2:31" ht="12" thickBot="1">
      <c r="B55" s="26"/>
      <c r="C55" s="13"/>
      <c r="D55" s="13"/>
      <c r="E55" s="13"/>
      <c r="F55" s="13"/>
      <c r="G55" s="12"/>
      <c r="H55" s="30" t="s">
        <v>31</v>
      </c>
      <c r="I55" s="31">
        <f>STDEV(I2:I52)</f>
        <v>5580537.528270262</v>
      </c>
      <c r="J55" s="32">
        <f>STDEV(J2:J52)</f>
        <v>5.580537528270262</v>
      </c>
      <c r="K55" s="12"/>
      <c r="L55" s="30" t="s">
        <v>31</v>
      </c>
      <c r="M55" s="31">
        <f>STDEV(M2:M52)</f>
        <v>282643.24265334295</v>
      </c>
      <c r="N55" s="32">
        <f>STDEV(N2:N52)</f>
        <v>0.2826432426533429</v>
      </c>
      <c r="O55" s="12"/>
      <c r="P55" s="30" t="s">
        <v>31</v>
      </c>
      <c r="Q55" s="53">
        <f>STDEV(Q2:Q52)</f>
        <v>152.03605093632805</v>
      </c>
      <c r="R55" s="56" t="s">
        <v>165</v>
      </c>
      <c r="S55" s="49">
        <v>139</v>
      </c>
      <c r="T55" s="14"/>
      <c r="U55" s="15"/>
      <c r="V55" s="15"/>
      <c r="W55" s="30" t="s">
        <v>31</v>
      </c>
      <c r="X55" s="40">
        <f aca="true" t="shared" si="29" ref="X55:AE55">STDEV(X2:X52)</f>
        <v>3.4763717140314183</v>
      </c>
      <c r="Y55" s="31">
        <f t="shared" si="29"/>
        <v>56.14494547117118</v>
      </c>
      <c r="Z55" s="31">
        <f t="shared" si="29"/>
        <v>726.8062422169271</v>
      </c>
      <c r="AA55" s="31">
        <f t="shared" si="29"/>
        <v>758.5230230326481</v>
      </c>
      <c r="AB55" s="41">
        <f t="shared" si="29"/>
        <v>0.016056021373797105</v>
      </c>
      <c r="AC55" s="42">
        <f t="shared" si="29"/>
        <v>0.2445330385075668</v>
      </c>
      <c r="AD55" s="31">
        <f t="shared" si="29"/>
        <v>1578867268.9827557</v>
      </c>
      <c r="AE55" s="43">
        <f t="shared" si="29"/>
        <v>1.578867268982756</v>
      </c>
    </row>
    <row r="56" spans="2:31" ht="11.25">
      <c r="B56" s="26"/>
      <c r="C56" s="13"/>
      <c r="D56" s="13"/>
      <c r="E56" s="13"/>
      <c r="F56" s="13"/>
      <c r="G56" s="12"/>
      <c r="H56" s="30" t="s">
        <v>32</v>
      </c>
      <c r="I56" s="31">
        <f>MIN(I2:I52)</f>
        <v>1706356.0478475</v>
      </c>
      <c r="J56" s="32">
        <f>MIN(J2:J52)</f>
        <v>1.7063560478475002</v>
      </c>
      <c r="K56" s="12"/>
      <c r="L56" s="30" t="s">
        <v>32</v>
      </c>
      <c r="M56" s="31">
        <f>MIN(M2:M52)</f>
        <v>4398.2297100000005</v>
      </c>
      <c r="N56" s="32">
        <f>MIN(N2:N52)</f>
        <v>0.004398229710000001</v>
      </c>
      <c r="O56" s="12"/>
      <c r="P56" s="30" t="s">
        <v>32</v>
      </c>
      <c r="Q56" s="48">
        <f>MIN(Q2:Q52)</f>
        <v>105</v>
      </c>
      <c r="R56" s="12"/>
      <c r="S56" s="12"/>
      <c r="T56" s="14"/>
      <c r="U56" s="15"/>
      <c r="V56" s="15"/>
      <c r="W56" s="30" t="s">
        <v>32</v>
      </c>
      <c r="X56" s="40">
        <f aca="true" t="shared" si="30" ref="X56:AE56">MIN(X2:X52)</f>
        <v>5.8999999999999995</v>
      </c>
      <c r="Y56" s="31">
        <f t="shared" si="30"/>
        <v>0</v>
      </c>
      <c r="Z56" s="31">
        <f t="shared" si="30"/>
        <v>-5205</v>
      </c>
      <c r="AA56" s="31">
        <f t="shared" si="30"/>
        <v>-5070</v>
      </c>
      <c r="AB56" s="41">
        <f t="shared" si="30"/>
        <v>0.0014451519667615048</v>
      </c>
      <c r="AC56" s="42">
        <f t="shared" si="30"/>
        <v>1.0046296296296295</v>
      </c>
      <c r="AD56" s="31">
        <f t="shared" si="30"/>
        <v>87522632.73163676</v>
      </c>
      <c r="AE56" s="43">
        <f t="shared" si="30"/>
        <v>0.08752263273163677</v>
      </c>
    </row>
    <row r="57" spans="2:31" ht="12" thickBot="1">
      <c r="B57" s="26"/>
      <c r="C57" s="13"/>
      <c r="D57" s="13"/>
      <c r="E57" s="13"/>
      <c r="F57" s="13"/>
      <c r="G57" s="12"/>
      <c r="H57" s="33" t="s">
        <v>33</v>
      </c>
      <c r="I57" s="34">
        <f>MAX(I2:I52)</f>
        <v>36521250.17569875</v>
      </c>
      <c r="J57" s="35">
        <f>MAX(J2:J52)</f>
        <v>36.521250175698746</v>
      </c>
      <c r="K57" s="12"/>
      <c r="L57" s="33" t="s">
        <v>33</v>
      </c>
      <c r="M57" s="34">
        <f>MAX(M2:M52)</f>
        <v>2048711.1068812502</v>
      </c>
      <c r="N57" s="35">
        <f>MAX(N2:N52)</f>
        <v>2.04871110688125</v>
      </c>
      <c r="O57" s="12"/>
      <c r="P57" s="33" t="s">
        <v>33</v>
      </c>
      <c r="Q57" s="66">
        <f>MAX(Q2:Q52)</f>
        <v>850</v>
      </c>
      <c r="R57" s="12"/>
      <c r="S57" s="12"/>
      <c r="T57" s="14"/>
      <c r="U57" s="15"/>
      <c r="V57" s="15"/>
      <c r="W57" s="33" t="s">
        <v>33</v>
      </c>
      <c r="X57" s="44">
        <f aca="true" t="shared" si="31" ref="X57:AE57">MAX(X2:X52)</f>
        <v>20.1</v>
      </c>
      <c r="Y57" s="34">
        <f t="shared" si="31"/>
        <v>170</v>
      </c>
      <c r="Z57" s="34">
        <f t="shared" si="31"/>
        <v>-2640</v>
      </c>
      <c r="AA57" s="34">
        <f t="shared" si="31"/>
        <v>-2180</v>
      </c>
      <c r="AB57" s="45">
        <f t="shared" si="31"/>
        <v>0.10209313430031859</v>
      </c>
      <c r="AC57" s="46">
        <f t="shared" si="31"/>
        <v>2.1</v>
      </c>
      <c r="AD57" s="34">
        <f t="shared" si="31"/>
        <v>10756010471.051447</v>
      </c>
      <c r="AE57" s="47">
        <f t="shared" si="31"/>
        <v>10.756010471051447</v>
      </c>
    </row>
    <row r="58" spans="10:31" ht="11.25">
      <c r="J58" s="72">
        <f>STDEV(J2:J52)</f>
        <v>5.580537528270262</v>
      </c>
      <c r="N58" s="72">
        <f>STDEV(N2:N52)</f>
        <v>0.2826432426533429</v>
      </c>
      <c r="Q58" s="72">
        <f>STDEV(Q2:Q52)</f>
        <v>152.03605093632805</v>
      </c>
      <c r="R58" s="72">
        <f>STDEV(R2:R49)</f>
        <v>0.6633352733708299</v>
      </c>
      <c r="X58" s="72">
        <f>STDEV(X2:X52)</f>
        <v>3.4763717140314183</v>
      </c>
      <c r="Z58" s="72">
        <f>STDEV(Z2:Z52)</f>
        <v>726.8062422169271</v>
      </c>
      <c r="AB58" s="72">
        <f>STDEV(AB2:AB52)</f>
        <v>0.016056021373797105</v>
      </c>
      <c r="AC58" s="72">
        <f>STDEV(AC2:AC52)</f>
        <v>0.2445330385075668</v>
      </c>
      <c r="AD58" s="72">
        <f>STDEV(AD2:AD52)</f>
        <v>1578867268.9827557</v>
      </c>
      <c r="AE58" s="72">
        <f>STDEV(AE2:AE52)</f>
        <v>1.578867268982756</v>
      </c>
    </row>
    <row r="59" spans="10:31" ht="12" thickBot="1">
      <c r="J59" s="74">
        <f>CONFIDENCE(0.05,J58,51)</f>
        <v>1.5315777059486158</v>
      </c>
      <c r="N59" s="74">
        <f>CONFIDENCE(0.05,N58,51)</f>
        <v>0.07757139648141799</v>
      </c>
      <c r="Q59" s="74">
        <f>CONFIDENCE(0.05,Q58,51)</f>
        <v>41.72627187523345</v>
      </c>
      <c r="R59" s="74">
        <f>CONFIDENCE(0.05,R58,48)</f>
        <v>0.18765518306398715</v>
      </c>
      <c r="X59" s="74">
        <f>CONFIDENCE(0.05,X58,51)</f>
        <v>0.9540897069195452</v>
      </c>
      <c r="Z59" s="74">
        <f>CONFIDENCE(0.05,Z58,51)</f>
        <v>199.47186655131577</v>
      </c>
      <c r="AB59" s="74">
        <f>CONFIDENCE(0.05,AB58,51)</f>
        <v>0.004406572710561868</v>
      </c>
      <c r="AC59" s="74">
        <f>CONFIDENCE(0.05,AC58,51)</f>
        <v>0.06711205654451534</v>
      </c>
      <c r="AD59" s="74">
        <f>CONFIDENCE(0.05,AD58,51)</f>
        <v>433319890.34674495</v>
      </c>
      <c r="AE59" s="74">
        <f>CONFIDENCE(0.05,AE58,51)</f>
        <v>0.43331989034674506</v>
      </c>
    </row>
    <row r="60" ht="11.25">
      <c r="R60" s="1">
        <f>(1.96)*(R58/(SQRT(48)))</f>
        <v>0.1876586313353751</v>
      </c>
    </row>
    <row r="61" ht="11.25">
      <c r="K61" s="11"/>
    </row>
    <row r="62" ht="11.25">
      <c r="K62" s="11"/>
    </row>
    <row r="63" ht="11.25">
      <c r="K63" s="11"/>
    </row>
    <row r="64" ht="11.25">
      <c r="K64" s="11"/>
    </row>
    <row r="65" ht="11.25">
      <c r="K65" s="11"/>
    </row>
    <row r="66" ht="11.25">
      <c r="K66" s="11"/>
    </row>
    <row r="67" ht="11.25">
      <c r="K67" s="11"/>
    </row>
    <row r="68" ht="11.25">
      <c r="K68" s="11"/>
    </row>
    <row r="69" ht="11.25">
      <c r="K69" s="11"/>
    </row>
    <row r="70" ht="11.25">
      <c r="K70" s="11"/>
    </row>
    <row r="71" ht="11.25">
      <c r="K71" s="11"/>
    </row>
    <row r="72" ht="11.25">
      <c r="K72" s="11"/>
    </row>
    <row r="73" ht="11.25">
      <c r="K73" s="11"/>
    </row>
    <row r="74" ht="11.25">
      <c r="K74" s="11"/>
    </row>
    <row r="75" ht="11.25">
      <c r="K75" s="11"/>
    </row>
    <row r="76" ht="11.25">
      <c r="K76" s="11"/>
    </row>
    <row r="77" ht="11.25">
      <c r="K77" s="11"/>
    </row>
    <row r="78" ht="11.25">
      <c r="K78" s="11"/>
    </row>
    <row r="79" ht="11.25">
      <c r="K79" s="11"/>
    </row>
    <row r="80" ht="11.25">
      <c r="K80" s="11"/>
    </row>
    <row r="81" ht="11.25">
      <c r="K81" s="11"/>
    </row>
    <row r="82" ht="11.25">
      <c r="K82" s="11"/>
    </row>
    <row r="83" ht="11.25">
      <c r="K83" s="11"/>
    </row>
    <row r="84" ht="11.25">
      <c r="K84" s="11"/>
    </row>
    <row r="85" ht="11.25">
      <c r="K85" s="11"/>
    </row>
    <row r="86" ht="11.25">
      <c r="K86" s="11"/>
    </row>
    <row r="87" ht="11.25">
      <c r="K87" s="11"/>
    </row>
    <row r="88" ht="11.25">
      <c r="K88" s="11"/>
    </row>
    <row r="89" ht="11.25">
      <c r="K89" s="11"/>
    </row>
    <row r="90" ht="11.25">
      <c r="K90" s="11"/>
    </row>
    <row r="91" ht="11.25">
      <c r="K91" s="11"/>
    </row>
    <row r="92" ht="12" thickBot="1">
      <c r="K92" s="11"/>
    </row>
    <row r="93" spans="11:14" ht="11.25">
      <c r="K93" s="11"/>
      <c r="L93" s="27" t="s">
        <v>162</v>
      </c>
      <c r="M93" s="67">
        <v>2.7182818284</v>
      </c>
      <c r="N93" s="71"/>
    </row>
    <row r="94" spans="11:14" ht="11.25">
      <c r="K94" s="11"/>
      <c r="L94" s="30" t="s">
        <v>163</v>
      </c>
      <c r="M94" s="68">
        <v>7.6153</v>
      </c>
      <c r="N94" s="71"/>
    </row>
    <row r="95" spans="11:14" ht="11.25">
      <c r="K95" s="11"/>
      <c r="L95" s="30" t="s">
        <v>164</v>
      </c>
      <c r="M95" s="68">
        <v>-0.0072</v>
      </c>
      <c r="N95" s="71"/>
    </row>
    <row r="96" spans="11:14" ht="11.25">
      <c r="K96" s="11"/>
      <c r="L96" s="30" t="s">
        <v>166</v>
      </c>
      <c r="M96" s="69">
        <f>-1*(1/S53)</f>
        <v>138.77050558855953</v>
      </c>
      <c r="N96" s="71"/>
    </row>
    <row r="97" spans="11:14" ht="12" thickBot="1">
      <c r="K97" s="11"/>
      <c r="L97" s="33" t="s">
        <v>167</v>
      </c>
      <c r="M97" s="70">
        <f>(M94*(M93^(M95*M96)))</f>
        <v>2.8039012227417586</v>
      </c>
      <c r="N97" s="71"/>
    </row>
    <row r="98" ht="11.25">
      <c r="K98" s="11"/>
    </row>
    <row r="99" ht="11.25">
      <c r="K99" s="11"/>
    </row>
    <row r="100" ht="11.25">
      <c r="K100" s="11"/>
    </row>
    <row r="101" ht="11.25">
      <c r="K101" s="11"/>
    </row>
    <row r="102" ht="11.25">
      <c r="K102" s="11"/>
    </row>
    <row r="103" ht="11.25">
      <c r="K103" s="11"/>
    </row>
    <row r="104" ht="11.25">
      <c r="K104" s="11"/>
    </row>
    <row r="105" ht="11.25">
      <c r="K105" s="11"/>
    </row>
    <row r="106" ht="11.25">
      <c r="K106" s="11"/>
    </row>
    <row r="107" ht="11.25">
      <c r="K107" s="11"/>
    </row>
    <row r="108" ht="11.25">
      <c r="K108" s="11"/>
    </row>
    <row r="109" ht="11.25">
      <c r="K109" s="11"/>
    </row>
    <row r="110" ht="11.25">
      <c r="K110" s="11"/>
    </row>
    <row r="111" ht="11.25">
      <c r="K111" s="1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zoomScale="150" zoomScaleNormal="150" workbookViewId="0" topLeftCell="B16">
      <selection activeCell="G46" sqref="G46"/>
    </sheetView>
  </sheetViews>
  <sheetFormatPr defaultColWidth="9.140625" defaultRowHeight="12.75"/>
  <sheetData>
    <row r="1" spans="1:3" ht="12.75">
      <c r="A1" s="19" t="s">
        <v>25</v>
      </c>
      <c r="B1" s="19" t="s">
        <v>23</v>
      </c>
      <c r="C1" s="19" t="s">
        <v>24</v>
      </c>
    </row>
    <row r="2" spans="1:3" ht="12.75">
      <c r="A2" s="16">
        <v>100</v>
      </c>
      <c r="B2" s="17">
        <v>0</v>
      </c>
      <c r="C2" s="20">
        <v>0</v>
      </c>
    </row>
    <row r="3" spans="1:3" ht="12.75">
      <c r="A3" s="16">
        <v>200</v>
      </c>
      <c r="B3" s="17">
        <v>9</v>
      </c>
      <c r="C3" s="20">
        <v>0.18</v>
      </c>
    </row>
    <row r="4" spans="1:3" ht="12.75">
      <c r="A4" s="16">
        <v>300</v>
      </c>
      <c r="B4" s="17">
        <v>14</v>
      </c>
      <c r="C4" s="20">
        <v>0.46</v>
      </c>
    </row>
    <row r="5" spans="1:3" ht="12.75">
      <c r="A5" s="16">
        <v>400</v>
      </c>
      <c r="B5" s="17">
        <v>17</v>
      </c>
      <c r="C5" s="20">
        <v>0.8</v>
      </c>
    </row>
    <row r="6" spans="1:3" ht="12.75">
      <c r="A6" s="16">
        <v>500</v>
      </c>
      <c r="B6" s="17">
        <v>3</v>
      </c>
      <c r="C6" s="20">
        <v>0.86</v>
      </c>
    </row>
    <row r="7" spans="1:3" ht="12.75">
      <c r="A7" s="16">
        <v>600</v>
      </c>
      <c r="B7" s="17">
        <v>4</v>
      </c>
      <c r="C7" s="20">
        <v>0.94</v>
      </c>
    </row>
    <row r="8" spans="1:3" ht="12.75">
      <c r="A8" s="16">
        <v>700</v>
      </c>
      <c r="B8" s="17">
        <v>2</v>
      </c>
      <c r="C8" s="20">
        <v>0.98</v>
      </c>
    </row>
    <row r="9" spans="1:3" ht="12.75">
      <c r="A9" s="16">
        <v>800</v>
      </c>
      <c r="B9" s="17">
        <v>0</v>
      </c>
      <c r="C9" s="20">
        <v>0.98</v>
      </c>
    </row>
    <row r="10" spans="1:3" ht="12.75">
      <c r="A10" s="16">
        <v>900</v>
      </c>
      <c r="B10" s="17">
        <v>1</v>
      </c>
      <c r="C10" s="20">
        <v>1</v>
      </c>
    </row>
    <row r="11" spans="1:3" ht="13.5" thickBot="1">
      <c r="A11" s="18" t="s">
        <v>22</v>
      </c>
      <c r="B11" s="18">
        <v>0</v>
      </c>
      <c r="C11" s="21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C20" sqref="C20"/>
    </sheetView>
  </sheetViews>
  <sheetFormatPr defaultColWidth="9.140625" defaultRowHeight="12.75"/>
  <cols>
    <col min="1" max="1" width="7.140625" style="0" bestFit="1" customWidth="1"/>
    <col min="2" max="2" width="5.00390625" style="0" bestFit="1" customWidth="1"/>
    <col min="3" max="3" width="21.7109375" style="0" bestFit="1" customWidth="1"/>
    <col min="4" max="4" width="25.28125" style="0" bestFit="1" customWidth="1"/>
    <col min="5" max="5" width="15.57421875" style="0" bestFit="1" customWidth="1"/>
    <col min="6" max="6" width="32.421875" style="0" bestFit="1" customWidth="1"/>
    <col min="7" max="7" width="26.7109375" style="0" bestFit="1" customWidth="1"/>
  </cols>
  <sheetData>
    <row r="1" spans="1:7" ht="12.75">
      <c r="A1" s="57" t="s">
        <v>149</v>
      </c>
      <c r="B1" s="57" t="s">
        <v>148</v>
      </c>
      <c r="C1" s="57" t="s">
        <v>90</v>
      </c>
      <c r="D1" s="57" t="s">
        <v>91</v>
      </c>
      <c r="E1" s="57" t="s">
        <v>92</v>
      </c>
      <c r="F1" s="57" t="s">
        <v>120</v>
      </c>
      <c r="G1" s="57" t="s">
        <v>121</v>
      </c>
    </row>
    <row r="2" spans="1:7" ht="12.75">
      <c r="A2" s="57">
        <v>1</v>
      </c>
      <c r="B2" s="57">
        <v>1988</v>
      </c>
      <c r="C2" s="57" t="s">
        <v>159</v>
      </c>
      <c r="D2" s="57" t="s">
        <v>122</v>
      </c>
      <c r="E2" s="57" t="s">
        <v>134</v>
      </c>
      <c r="F2" s="57" t="s">
        <v>140</v>
      </c>
      <c r="G2" s="57">
        <v>389</v>
      </c>
    </row>
    <row r="3" spans="1:7" ht="12.75">
      <c r="A3" s="57">
        <v>2</v>
      </c>
      <c r="B3" s="57">
        <v>1988</v>
      </c>
      <c r="C3" s="57" t="s">
        <v>159</v>
      </c>
      <c r="D3" s="57" t="s">
        <v>124</v>
      </c>
      <c r="E3" s="57" t="s">
        <v>135</v>
      </c>
      <c r="F3" s="57" t="s">
        <v>141</v>
      </c>
      <c r="G3" s="57">
        <v>325</v>
      </c>
    </row>
    <row r="4" spans="1:7" ht="12.75">
      <c r="A4" s="57">
        <v>3</v>
      </c>
      <c r="B4" s="57">
        <v>1988</v>
      </c>
      <c r="C4" s="57" t="s">
        <v>159</v>
      </c>
      <c r="D4" s="57" t="s">
        <v>125</v>
      </c>
      <c r="E4" s="57" t="s">
        <v>136</v>
      </c>
      <c r="F4" s="57" t="s">
        <v>142</v>
      </c>
      <c r="G4" s="57">
        <v>453</v>
      </c>
    </row>
    <row r="5" spans="1:7" ht="12.75">
      <c r="A5" s="57">
        <v>4</v>
      </c>
      <c r="B5" s="57">
        <v>1988</v>
      </c>
      <c r="C5" s="57" t="s">
        <v>159</v>
      </c>
      <c r="D5" s="57" t="s">
        <v>123</v>
      </c>
      <c r="E5" s="57" t="s">
        <v>119</v>
      </c>
      <c r="F5" s="57" t="s">
        <v>143</v>
      </c>
      <c r="G5" s="57">
        <v>298</v>
      </c>
    </row>
    <row r="6" spans="1:7" ht="12.75">
      <c r="A6" s="57">
        <v>5</v>
      </c>
      <c r="B6" s="57">
        <v>1988</v>
      </c>
      <c r="C6" s="57" t="s">
        <v>159</v>
      </c>
      <c r="D6" s="57" t="s">
        <v>130</v>
      </c>
      <c r="E6" s="57" t="s">
        <v>137</v>
      </c>
      <c r="F6" s="57" t="s">
        <v>144</v>
      </c>
      <c r="G6" s="57">
        <v>324</v>
      </c>
    </row>
    <row r="7" spans="1:7" ht="12.75">
      <c r="A7" s="57">
        <v>6</v>
      </c>
      <c r="B7" s="57">
        <v>1988</v>
      </c>
      <c r="C7" s="57" t="s">
        <v>159</v>
      </c>
      <c r="D7" s="57" t="s">
        <v>131</v>
      </c>
      <c r="E7" s="57" t="s">
        <v>134</v>
      </c>
      <c r="F7" s="57" t="s">
        <v>145</v>
      </c>
      <c r="G7" s="57">
        <v>316</v>
      </c>
    </row>
    <row r="8" spans="1:7" ht="12.75">
      <c r="A8" s="57">
        <v>7</v>
      </c>
      <c r="B8" s="57">
        <v>1988</v>
      </c>
      <c r="C8" s="57" t="s">
        <v>159</v>
      </c>
      <c r="D8" s="57" t="s">
        <v>132</v>
      </c>
      <c r="E8" s="57" t="s">
        <v>138</v>
      </c>
      <c r="F8" s="57" t="s">
        <v>146</v>
      </c>
      <c r="G8" s="57">
        <v>439</v>
      </c>
    </row>
    <row r="9" spans="1:7" ht="12.75">
      <c r="A9" s="57">
        <v>8</v>
      </c>
      <c r="B9" s="57">
        <v>1988</v>
      </c>
      <c r="C9" s="57" t="s">
        <v>159</v>
      </c>
      <c r="D9" s="57" t="s">
        <v>133</v>
      </c>
      <c r="E9" s="57" t="s">
        <v>139</v>
      </c>
      <c r="F9" s="57" t="s">
        <v>147</v>
      </c>
      <c r="G9" s="57">
        <v>405</v>
      </c>
    </row>
    <row r="10" spans="1:7" ht="12.75">
      <c r="A10" s="57">
        <v>9</v>
      </c>
      <c r="B10" s="57">
        <v>1988</v>
      </c>
      <c r="C10" s="57" t="s">
        <v>158</v>
      </c>
      <c r="D10" s="57" t="s">
        <v>116</v>
      </c>
      <c r="E10" s="57" t="s">
        <v>117</v>
      </c>
      <c r="F10" s="57" t="s">
        <v>118</v>
      </c>
      <c r="G10" s="57">
        <v>174</v>
      </c>
    </row>
    <row r="11" spans="1:7" ht="12.75">
      <c r="A11" s="57">
        <v>10</v>
      </c>
      <c r="B11" s="57">
        <v>1992</v>
      </c>
      <c r="C11" s="57" t="s">
        <v>157</v>
      </c>
      <c r="D11" s="57" t="s">
        <v>113</v>
      </c>
      <c r="E11" s="57" t="s">
        <v>114</v>
      </c>
      <c r="F11" s="57" t="s">
        <v>115</v>
      </c>
      <c r="G11" s="57">
        <v>58</v>
      </c>
    </row>
    <row r="12" spans="1:7" ht="12.75">
      <c r="A12" s="57">
        <v>11</v>
      </c>
      <c r="B12" s="57">
        <v>1993</v>
      </c>
      <c r="C12" s="57" t="s">
        <v>156</v>
      </c>
      <c r="D12" s="57" t="s">
        <v>110</v>
      </c>
      <c r="E12" s="57" t="s">
        <v>111</v>
      </c>
      <c r="F12" s="57" t="s">
        <v>112</v>
      </c>
      <c r="G12" s="57">
        <v>233</v>
      </c>
    </row>
    <row r="13" spans="1:7" ht="12.75">
      <c r="A13" s="57">
        <v>12</v>
      </c>
      <c r="B13" s="57">
        <v>1994</v>
      </c>
      <c r="C13" s="57" t="s">
        <v>155</v>
      </c>
      <c r="D13" s="57" t="s">
        <v>126</v>
      </c>
      <c r="E13" s="57" t="s">
        <v>108</v>
      </c>
      <c r="F13" s="57" t="s">
        <v>109</v>
      </c>
      <c r="G13" s="57">
        <v>29</v>
      </c>
    </row>
    <row r="14" spans="1:7" ht="12.75">
      <c r="A14" s="57">
        <v>13</v>
      </c>
      <c r="B14" s="57">
        <v>1995</v>
      </c>
      <c r="C14" s="57" t="s">
        <v>154</v>
      </c>
      <c r="D14" s="57" t="s">
        <v>129</v>
      </c>
      <c r="E14" s="57" t="s">
        <v>106</v>
      </c>
      <c r="F14" s="57" t="s">
        <v>107</v>
      </c>
      <c r="G14" s="57">
        <v>240</v>
      </c>
    </row>
    <row r="15" spans="1:7" ht="12.75">
      <c r="A15" s="57">
        <v>14</v>
      </c>
      <c r="B15" s="57">
        <v>1995</v>
      </c>
      <c r="C15" s="57" t="s">
        <v>153</v>
      </c>
      <c r="D15" s="57" t="s">
        <v>103</v>
      </c>
      <c r="E15" s="57" t="s">
        <v>104</v>
      </c>
      <c r="F15" s="57" t="s">
        <v>105</v>
      </c>
      <c r="G15" s="57">
        <v>68</v>
      </c>
    </row>
    <row r="16" spans="1:7" ht="12.75">
      <c r="A16" s="57">
        <v>15</v>
      </c>
      <c r="B16" s="57">
        <v>1996</v>
      </c>
      <c r="C16" s="57" t="s">
        <v>152</v>
      </c>
      <c r="D16" s="57" t="s">
        <v>100</v>
      </c>
      <c r="E16" s="57" t="s">
        <v>101</v>
      </c>
      <c r="F16" s="57" t="s">
        <v>102</v>
      </c>
      <c r="G16" s="57">
        <v>421</v>
      </c>
    </row>
    <row r="17" spans="1:7" ht="12.75">
      <c r="A17" s="57">
        <v>16</v>
      </c>
      <c r="B17" s="57">
        <v>1997</v>
      </c>
      <c r="C17" s="57" t="s">
        <v>151</v>
      </c>
      <c r="D17" s="57" t="s">
        <v>127</v>
      </c>
      <c r="E17" s="57" t="s">
        <v>98</v>
      </c>
      <c r="F17" s="57" t="s">
        <v>99</v>
      </c>
      <c r="G17" s="57">
        <v>308</v>
      </c>
    </row>
    <row r="18" spans="1:7" ht="12.75">
      <c r="A18" s="57">
        <v>17</v>
      </c>
      <c r="B18" s="57">
        <v>2000</v>
      </c>
      <c r="C18" s="57" t="s">
        <v>150</v>
      </c>
      <c r="D18" s="57" t="s">
        <v>95</v>
      </c>
      <c r="E18" s="57" t="s">
        <v>96</v>
      </c>
      <c r="F18" s="57" t="s">
        <v>97</v>
      </c>
      <c r="G18" s="57">
        <v>92</v>
      </c>
    </row>
    <row r="19" spans="1:7" ht="12.75">
      <c r="A19" s="57" t="s">
        <v>28</v>
      </c>
      <c r="B19" s="57">
        <v>2007</v>
      </c>
      <c r="C19" s="57" t="s">
        <v>160</v>
      </c>
      <c r="D19" s="57" t="s">
        <v>128</v>
      </c>
      <c r="E19" s="57" t="s">
        <v>93</v>
      </c>
      <c r="F19" s="57" t="s">
        <v>94</v>
      </c>
      <c r="G19" s="57">
        <v>138</v>
      </c>
    </row>
    <row r="20" spans="6:7" ht="12.75">
      <c r="F20" s="57"/>
      <c r="G20" s="5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COSINe Oregon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Jed Roberts</dc:creator>
  <cp:keywords/>
  <dc:description/>
  <cp:lastModifiedBy>Jed Roberts</cp:lastModifiedBy>
  <dcterms:created xsi:type="dcterms:W3CDTF">2007-04-04T21:21:49Z</dcterms:created>
  <dcterms:modified xsi:type="dcterms:W3CDTF">2008-01-15T02:22:17Z</dcterms:modified>
  <cp:category/>
  <cp:version/>
  <cp:contentType/>
  <cp:contentStatus/>
</cp:coreProperties>
</file>